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e\Documents\LC\LC 2018\"/>
    </mc:Choice>
  </mc:AlternateContent>
  <xr:revisionPtr revIDLastSave="0" documentId="13_ncr:1_{BE1817DF-7A2E-4235-97F3-8F072CE2C618}" xr6:coauthVersionLast="38" xr6:coauthVersionMax="38" xr10:uidLastSave="{00000000-0000-0000-0000-000000000000}"/>
  <bookViews>
    <workbookView xWindow="0" yWindow="0" windowWidth="27870" windowHeight="12150" activeTab="3" xr2:uid="{12F11672-179E-4234-BA9B-8176F0CD5FAE}"/>
  </bookViews>
  <sheets>
    <sheet name="Total Tikar 2018 Internationell" sheetId="7" r:id="rId1"/>
    <sheet name="Total Hanar 2018 Internationell" sheetId="5" r:id="rId2"/>
    <sheet name="Total Tikar 2018 Klass 2" sheetId="8" r:id="rId3"/>
    <sheet name="Total Hanar 2018 Klass 2" sheetId="6" r:id="rId4"/>
  </sheets>
  <definedNames>
    <definedName name="_xlnm._FilterDatabase" localSheetId="1" hidden="1">'Total Hanar 2018 Internationell'!$B$8:$HS$34</definedName>
    <definedName name="_xlnm._FilterDatabase" localSheetId="3" hidden="1">'Total Hanar 2018 Klass 2'!$B$8:$HS$57</definedName>
    <definedName name="_xlnm._FilterDatabase" localSheetId="0" hidden="1">'Total Tikar 2018 Internationell'!$B$8:$IQ$96</definedName>
    <definedName name="_xlnm._FilterDatabase" localSheetId="2" hidden="1">'Total Tikar 2018 Klass 2'!$B$8:$IH$85</definedName>
    <definedName name="_xlnm.Print_Area" localSheetId="1">'Total Hanar 2018 Internationell'!$A$1:$W$29</definedName>
    <definedName name="_xlnm.Print_Area" localSheetId="3">'Total Hanar 2018 Klass 2'!$A$1:$W$57</definedName>
    <definedName name="_xlnm.Print_Area" localSheetId="0">'Total Tikar 2018 Internationell'!$A$1:$W$61</definedName>
    <definedName name="_xlnm.Print_Area" localSheetId="2">'Total Tikar 2018 Klass 2'!$A$1:$W$57</definedName>
    <definedName name="_xlnm.Print_Titles" localSheetId="1">'Total Hanar 2018 Internationell'!$B:$E,'Total Hanar 2018 Internationell'!$6:$8</definedName>
    <definedName name="_xlnm.Print_Titles" localSheetId="3">'Total Hanar 2018 Klass 2'!$B:$E,'Total Hanar 2018 Klass 2'!$6:$8</definedName>
    <definedName name="_xlnm.Print_Titles" localSheetId="0">'Total Tikar 2018 Internationell'!$B:$E,'Total Tikar 2018 Internationell'!$6:$8</definedName>
    <definedName name="_xlnm.Print_Titles" localSheetId="2">'Total Tikar 2018 Klass 2'!$B:$E,'Total Tikar 2018 Klass 2'!$6:$8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4" i="8" l="1"/>
  <c r="M53" i="8"/>
  <c r="G53" i="8"/>
  <c r="O52" i="8"/>
  <c r="G52" i="8"/>
  <c r="M51" i="8"/>
  <c r="G51" i="8"/>
  <c r="W50" i="8"/>
  <c r="U50" i="8"/>
  <c r="G50" i="8" s="1"/>
  <c r="K49" i="8"/>
  <c r="G49" i="8" s="1"/>
  <c r="U48" i="8"/>
  <c r="G48" i="8" s="1"/>
  <c r="W47" i="8"/>
  <c r="M47" i="8"/>
  <c r="G47" i="8"/>
  <c r="O46" i="8"/>
  <c r="G46" i="8"/>
  <c r="W45" i="8"/>
  <c r="G45" i="8"/>
  <c r="U44" i="8"/>
  <c r="M44" i="8"/>
  <c r="K44" i="8"/>
  <c r="I44" i="8"/>
  <c r="G44" i="8" s="1"/>
  <c r="O43" i="8"/>
  <c r="G43" i="8" s="1"/>
  <c r="W42" i="8"/>
  <c r="G42" i="8" s="1"/>
  <c r="U41" i="8"/>
  <c r="G41" i="8" s="1"/>
  <c r="M41" i="8"/>
  <c r="Q40" i="8"/>
  <c r="O40" i="8"/>
  <c r="G40" i="8" s="1"/>
  <c r="U39" i="8"/>
  <c r="G39" i="8" s="1"/>
  <c r="O38" i="8"/>
  <c r="G38" i="8" s="1"/>
  <c r="S37" i="8"/>
  <c r="G37" i="8" s="1"/>
  <c r="K36" i="8"/>
  <c r="I36" i="8"/>
  <c r="G36" i="8"/>
  <c r="U35" i="8"/>
  <c r="G35" i="8"/>
  <c r="W34" i="8"/>
  <c r="G34" i="8"/>
  <c r="Q33" i="8"/>
  <c r="M33" i="8"/>
  <c r="G33" i="8" s="1"/>
  <c r="W32" i="8"/>
  <c r="G32" i="8" s="1"/>
  <c r="K31" i="8"/>
  <c r="I31" i="8"/>
  <c r="G31" i="8"/>
  <c r="W30" i="8"/>
  <c r="Q30" i="8"/>
  <c r="G30" i="8" s="1"/>
  <c r="W29" i="8"/>
  <c r="G29" i="8" s="1"/>
  <c r="W28" i="8"/>
  <c r="U28" i="8"/>
  <c r="S28" i="8"/>
  <c r="Q28" i="8"/>
  <c r="M28" i="8"/>
  <c r="K28" i="8"/>
  <c r="I28" i="8"/>
  <c r="G28" i="8" s="1"/>
  <c r="W27" i="8"/>
  <c r="U27" i="8"/>
  <c r="M27" i="8"/>
  <c r="K27" i="8"/>
  <c r="I27" i="8"/>
  <c r="G27" i="8" s="1"/>
  <c r="S26" i="8"/>
  <c r="O26" i="8"/>
  <c r="G26" i="8"/>
  <c r="U25" i="8"/>
  <c r="M25" i="8"/>
  <c r="G25" i="8" s="1"/>
  <c r="W24" i="8"/>
  <c r="M24" i="8"/>
  <c r="G24" i="8"/>
  <c r="W23" i="8"/>
  <c r="U23" i="8"/>
  <c r="S23" i="8"/>
  <c r="Q23" i="8"/>
  <c r="O23" i="8"/>
  <c r="M23" i="8"/>
  <c r="G23" i="8" s="1"/>
  <c r="U22" i="8"/>
  <c r="M22" i="8"/>
  <c r="I22" i="8"/>
  <c r="G22" i="8" s="1"/>
  <c r="S21" i="8"/>
  <c r="Q21" i="8"/>
  <c r="O21" i="8"/>
  <c r="G21" i="8" s="1"/>
  <c r="M20" i="8"/>
  <c r="K20" i="8"/>
  <c r="G20" i="8"/>
  <c r="W19" i="8"/>
  <c r="U19" i="8"/>
  <c r="M19" i="8"/>
  <c r="K19" i="8"/>
  <c r="G19" i="8" s="1"/>
  <c r="I19" i="8"/>
  <c r="W18" i="8"/>
  <c r="U18" i="8"/>
  <c r="Q18" i="8"/>
  <c r="M18" i="8"/>
  <c r="G18" i="8" s="1"/>
  <c r="U17" i="8"/>
  <c r="M17" i="8"/>
  <c r="K17" i="8"/>
  <c r="I17" i="8"/>
  <c r="G17" i="8"/>
  <c r="U16" i="8"/>
  <c r="Q16" i="8"/>
  <c r="M16" i="8"/>
  <c r="G16" i="8"/>
  <c r="W15" i="8"/>
  <c r="U15" i="8"/>
  <c r="Q15" i="8"/>
  <c r="O15" i="8"/>
  <c r="G15" i="8" s="1"/>
  <c r="W14" i="8"/>
  <c r="U14" i="8"/>
  <c r="K14" i="8"/>
  <c r="G14" i="8" s="1"/>
  <c r="I14" i="8"/>
  <c r="W13" i="8"/>
  <c r="U13" i="8"/>
  <c r="Q13" i="8"/>
  <c r="M13" i="8"/>
  <c r="K13" i="8"/>
  <c r="G13" i="8"/>
  <c r="S12" i="8"/>
  <c r="O12" i="8"/>
  <c r="M12" i="8"/>
  <c r="K12" i="8"/>
  <c r="G12" i="8" s="1"/>
  <c r="I12" i="8"/>
  <c r="W11" i="8"/>
  <c r="U11" i="8"/>
  <c r="S11" i="8"/>
  <c r="Q11" i="8"/>
  <c r="O11" i="8"/>
  <c r="G11" i="8"/>
  <c r="W10" i="8"/>
  <c r="U10" i="8"/>
  <c r="Q10" i="8"/>
  <c r="K10" i="8"/>
  <c r="G10" i="8" s="1"/>
  <c r="I10" i="8"/>
  <c r="W9" i="8"/>
  <c r="U9" i="8"/>
  <c r="M9" i="8"/>
  <c r="K9" i="8"/>
  <c r="I9" i="8"/>
  <c r="G9" i="8"/>
  <c r="U59" i="7"/>
  <c r="G59" i="7"/>
  <c r="U58" i="7"/>
  <c r="M58" i="7"/>
  <c r="G58" i="7" s="1"/>
  <c r="M57" i="7"/>
  <c r="G57" i="7" s="1"/>
  <c r="O56" i="7"/>
  <c r="G56" i="7" s="1"/>
  <c r="W55" i="7"/>
  <c r="G55" i="7" s="1"/>
  <c r="K54" i="7"/>
  <c r="G54" i="7" s="1"/>
  <c r="Q53" i="7"/>
  <c r="O53" i="7"/>
  <c r="G53" i="7"/>
  <c r="O52" i="7"/>
  <c r="G52" i="7"/>
  <c r="W51" i="7"/>
  <c r="G51" i="7"/>
  <c r="Q50" i="7"/>
  <c r="G50" i="7"/>
  <c r="Q49" i="7"/>
  <c r="O49" i="7"/>
  <c r="G49" i="7" s="1"/>
  <c r="M48" i="7"/>
  <c r="G48" i="7" s="1"/>
  <c r="U47" i="7"/>
  <c r="G47" i="7" s="1"/>
  <c r="O46" i="7"/>
  <c r="G46" i="7" s="1"/>
  <c r="W45" i="7"/>
  <c r="G45" i="7" s="1"/>
  <c r="Q44" i="7"/>
  <c r="G44" i="7" s="1"/>
  <c r="O43" i="7"/>
  <c r="G43" i="7" s="1"/>
  <c r="W42" i="7"/>
  <c r="K42" i="7"/>
  <c r="I42" i="7"/>
  <c r="G42" i="7" s="1"/>
  <c r="W41" i="7"/>
  <c r="U41" i="7"/>
  <c r="G41" i="7"/>
  <c r="O40" i="7"/>
  <c r="G40" i="7"/>
  <c r="W39" i="7"/>
  <c r="U39" i="7"/>
  <c r="G39" i="7" s="1"/>
  <c r="W38" i="7"/>
  <c r="U38" i="7"/>
  <c r="M38" i="7"/>
  <c r="K38" i="7"/>
  <c r="I38" i="7"/>
  <c r="G38" i="7" s="1"/>
  <c r="S37" i="7"/>
  <c r="G37" i="7" s="1"/>
  <c r="Q36" i="7"/>
  <c r="M36" i="7"/>
  <c r="G36" i="7"/>
  <c r="S35" i="7"/>
  <c r="I35" i="7"/>
  <c r="G35" i="7" s="1"/>
  <c r="O34" i="7"/>
  <c r="G34" i="7" s="1"/>
  <c r="W33" i="7"/>
  <c r="G33" i="7" s="1"/>
  <c r="M32" i="7"/>
  <c r="G32" i="7" s="1"/>
  <c r="K32" i="7"/>
  <c r="W31" i="7"/>
  <c r="U31" i="7"/>
  <c r="M31" i="7"/>
  <c r="I31" i="7"/>
  <c r="G31" i="7" s="1"/>
  <c r="U30" i="7"/>
  <c r="K30" i="7"/>
  <c r="I30" i="7"/>
  <c r="G30" i="7" s="1"/>
  <c r="Q29" i="7"/>
  <c r="G29" i="7" s="1"/>
  <c r="M29" i="7"/>
  <c r="W28" i="7"/>
  <c r="U28" i="7"/>
  <c r="Q28" i="7"/>
  <c r="M28" i="7"/>
  <c r="G28" i="7" s="1"/>
  <c r="W27" i="7"/>
  <c r="U27" i="7"/>
  <c r="Q27" i="7"/>
  <c r="M27" i="7"/>
  <c r="K27" i="7"/>
  <c r="G27" i="7" s="1"/>
  <c r="I27" i="7"/>
  <c r="U26" i="7"/>
  <c r="M26" i="7"/>
  <c r="G26" i="7" s="1"/>
  <c r="I26" i="7"/>
  <c r="K25" i="7"/>
  <c r="I25" i="7"/>
  <c r="G25" i="7" s="1"/>
  <c r="Q24" i="7"/>
  <c r="M24" i="7"/>
  <c r="K24" i="7"/>
  <c r="G24" i="7" s="1"/>
  <c r="I24" i="7"/>
  <c r="U23" i="7"/>
  <c r="Q23" i="7"/>
  <c r="M23" i="7"/>
  <c r="K23" i="7"/>
  <c r="I23" i="7"/>
  <c r="G23" i="7"/>
  <c r="U22" i="7"/>
  <c r="M22" i="7"/>
  <c r="K22" i="7"/>
  <c r="I22" i="7"/>
  <c r="G22" i="7" s="1"/>
  <c r="W21" i="7"/>
  <c r="M21" i="7"/>
  <c r="K21" i="7"/>
  <c r="G21" i="7" s="1"/>
  <c r="I21" i="7"/>
  <c r="S20" i="7"/>
  <c r="Q20" i="7"/>
  <c r="G20" i="7" s="1"/>
  <c r="O20" i="7"/>
  <c r="W19" i="7"/>
  <c r="U19" i="7"/>
  <c r="G19" i="7" s="1"/>
  <c r="Q19" i="7"/>
  <c r="W18" i="7"/>
  <c r="U18" i="7"/>
  <c r="Q18" i="7"/>
  <c r="M18" i="7"/>
  <c r="G18" i="7" s="1"/>
  <c r="M17" i="7"/>
  <c r="K17" i="7"/>
  <c r="I17" i="7"/>
  <c r="G17" i="7" s="1"/>
  <c r="U16" i="7"/>
  <c r="M16" i="7"/>
  <c r="K16" i="7"/>
  <c r="G16" i="7" s="1"/>
  <c r="U15" i="7"/>
  <c r="K15" i="7"/>
  <c r="I15" i="7"/>
  <c r="G15" i="7" s="1"/>
  <c r="W14" i="7"/>
  <c r="Q14" i="7"/>
  <c r="M14" i="7"/>
  <c r="G14" i="7" s="1"/>
  <c r="W13" i="7"/>
  <c r="Q13" i="7"/>
  <c r="M13" i="7"/>
  <c r="I13" i="7"/>
  <c r="G13" i="7"/>
  <c r="W12" i="7"/>
  <c r="Q12" i="7"/>
  <c r="M12" i="7"/>
  <c r="G12" i="7"/>
  <c r="W11" i="7"/>
  <c r="U11" i="7"/>
  <c r="Q11" i="7"/>
  <c r="M11" i="7"/>
  <c r="K11" i="7"/>
  <c r="I11" i="7"/>
  <c r="G11" i="7" s="1"/>
  <c r="W10" i="7"/>
  <c r="U10" i="7"/>
  <c r="Q10" i="7"/>
  <c r="M10" i="7"/>
  <c r="K10" i="7"/>
  <c r="G10" i="7" s="1"/>
  <c r="I10" i="7"/>
  <c r="W9" i="7"/>
  <c r="U9" i="7"/>
  <c r="Q9" i="7"/>
  <c r="M9" i="7"/>
  <c r="K9" i="7"/>
  <c r="I9" i="7"/>
  <c r="G9" i="7" s="1"/>
  <c r="G56" i="6"/>
  <c r="Q55" i="6"/>
  <c r="G55" i="6"/>
  <c r="M54" i="6"/>
  <c r="G54" i="6"/>
  <c r="U53" i="6"/>
  <c r="K53" i="6"/>
  <c r="G53" i="6" s="1"/>
  <c r="I53" i="6"/>
  <c r="Q52" i="6"/>
  <c r="M52" i="6"/>
  <c r="G52" i="6" s="1"/>
  <c r="U51" i="6"/>
  <c r="G51" i="6" s="1"/>
  <c r="Q50" i="6"/>
  <c r="G50" i="6" s="1"/>
  <c r="U49" i="6"/>
  <c r="M49" i="6"/>
  <c r="G49" i="6"/>
  <c r="W48" i="6"/>
  <c r="G48" i="6"/>
  <c r="M47" i="6"/>
  <c r="G47" i="6"/>
  <c r="U46" i="6"/>
  <c r="G46" i="6"/>
  <c r="O45" i="6"/>
  <c r="G45" i="6"/>
  <c r="W44" i="6"/>
  <c r="G44" i="6"/>
  <c r="U43" i="6"/>
  <c r="G43" i="6"/>
  <c r="K42" i="6"/>
  <c r="I42" i="6"/>
  <c r="G42" i="6" s="1"/>
  <c r="U41" i="6"/>
  <c r="G41" i="6" s="1"/>
  <c r="S40" i="6"/>
  <c r="G40" i="6" s="1"/>
  <c r="S39" i="6"/>
  <c r="G39" i="6" s="1"/>
  <c r="O38" i="6"/>
  <c r="G38" i="6" s="1"/>
  <c r="W37" i="6"/>
  <c r="G37" i="6" s="1"/>
  <c r="S36" i="6"/>
  <c r="O36" i="6"/>
  <c r="G36" i="6"/>
  <c r="U35" i="6"/>
  <c r="M35" i="6"/>
  <c r="G35" i="6" s="1"/>
  <c r="Q34" i="6"/>
  <c r="G34" i="6" s="1"/>
  <c r="W33" i="6"/>
  <c r="G33" i="6" s="1"/>
  <c r="Q32" i="6"/>
  <c r="G32" i="6" s="1"/>
  <c r="M32" i="6"/>
  <c r="K31" i="6"/>
  <c r="I31" i="6"/>
  <c r="G31" i="6" s="1"/>
  <c r="W30" i="6"/>
  <c r="U30" i="6"/>
  <c r="Q30" i="6"/>
  <c r="M30" i="6"/>
  <c r="I30" i="6"/>
  <c r="G30" i="6" s="1"/>
  <c r="W29" i="6"/>
  <c r="G29" i="6" s="1"/>
  <c r="W28" i="6"/>
  <c r="Q28" i="6"/>
  <c r="O28" i="6"/>
  <c r="G28" i="6" s="1"/>
  <c r="M28" i="6"/>
  <c r="W27" i="6"/>
  <c r="M27" i="6"/>
  <c r="G27" i="6" s="1"/>
  <c r="K27" i="6"/>
  <c r="W26" i="6"/>
  <c r="Q26" i="6"/>
  <c r="G26" i="6" s="1"/>
  <c r="M26" i="6"/>
  <c r="U25" i="6"/>
  <c r="K25" i="6"/>
  <c r="G25" i="6" s="1"/>
  <c r="I25" i="6"/>
  <c r="W24" i="6"/>
  <c r="U24" i="6"/>
  <c r="Q24" i="6"/>
  <c r="M24" i="6"/>
  <c r="I24" i="6"/>
  <c r="G24" i="6"/>
  <c r="U23" i="6"/>
  <c r="M23" i="6"/>
  <c r="K23" i="6"/>
  <c r="G23" i="6"/>
  <c r="K22" i="6"/>
  <c r="I22" i="6"/>
  <c r="G22" i="6" s="1"/>
  <c r="W21" i="6"/>
  <c r="G21" i="6" s="1"/>
  <c r="U21" i="6"/>
  <c r="W20" i="6"/>
  <c r="U20" i="6"/>
  <c r="Q20" i="6"/>
  <c r="M20" i="6"/>
  <c r="G20" i="6" s="1"/>
  <c r="U19" i="6"/>
  <c r="M19" i="6"/>
  <c r="K19" i="6"/>
  <c r="I19" i="6"/>
  <c r="G19" i="6"/>
  <c r="W18" i="6"/>
  <c r="Q18" i="6"/>
  <c r="G18" i="6" s="1"/>
  <c r="W17" i="6"/>
  <c r="U17" i="6"/>
  <c r="Q17" i="6"/>
  <c r="K17" i="6"/>
  <c r="I17" i="6"/>
  <c r="G17" i="6" s="1"/>
  <c r="W16" i="6"/>
  <c r="U16" i="6"/>
  <c r="Q16" i="6"/>
  <c r="G16" i="6" s="1"/>
  <c r="W15" i="6"/>
  <c r="Q15" i="6"/>
  <c r="M15" i="6"/>
  <c r="G15" i="6" s="1"/>
  <c r="W14" i="6"/>
  <c r="M14" i="6"/>
  <c r="K14" i="6"/>
  <c r="G14" i="6" s="1"/>
  <c r="W13" i="6"/>
  <c r="S13" i="6"/>
  <c r="Q13" i="6"/>
  <c r="G13" i="6" s="1"/>
  <c r="O13" i="6"/>
  <c r="U12" i="6"/>
  <c r="Q12" i="6"/>
  <c r="G12" i="6" s="1"/>
  <c r="O12" i="6"/>
  <c r="W11" i="6"/>
  <c r="U11" i="6"/>
  <c r="K11" i="6"/>
  <c r="I11" i="6"/>
  <c r="G11" i="6" s="1"/>
  <c r="W10" i="6"/>
  <c r="Q10" i="6"/>
  <c r="M10" i="6"/>
  <c r="K10" i="6"/>
  <c r="I10" i="6"/>
  <c r="G10" i="6" s="1"/>
  <c r="W9" i="6"/>
  <c r="U9" i="6"/>
  <c r="S9" i="6"/>
  <c r="G9" i="6" s="1"/>
  <c r="K9" i="6"/>
  <c r="G27" i="5"/>
  <c r="W26" i="5"/>
  <c r="U26" i="5"/>
  <c r="K26" i="5"/>
  <c r="I26" i="5"/>
  <c r="G26" i="5"/>
  <c r="U25" i="5"/>
  <c r="M25" i="5"/>
  <c r="K25" i="5"/>
  <c r="I25" i="5"/>
  <c r="G25" i="5" s="1"/>
  <c r="W24" i="5"/>
  <c r="U24" i="5"/>
  <c r="K24" i="5"/>
  <c r="G24" i="5" s="1"/>
  <c r="I24" i="5"/>
  <c r="S23" i="5"/>
  <c r="Q23" i="5"/>
  <c r="G23" i="5" s="1"/>
  <c r="U22" i="5"/>
  <c r="Q22" i="5"/>
  <c r="G22" i="5"/>
  <c r="W21" i="5"/>
  <c r="U21" i="5"/>
  <c r="S21" i="5"/>
  <c r="O21" i="5"/>
  <c r="M21" i="5"/>
  <c r="K21" i="5"/>
  <c r="I21" i="5"/>
  <c r="G21" i="5"/>
  <c r="Q20" i="5"/>
  <c r="G20" i="5"/>
  <c r="W19" i="5"/>
  <c r="Q19" i="5"/>
  <c r="G19" i="5" s="1"/>
  <c r="M19" i="5"/>
  <c r="W18" i="5"/>
  <c r="K18" i="5"/>
  <c r="G18" i="5" s="1"/>
  <c r="I18" i="5"/>
  <c r="U17" i="5"/>
  <c r="M17" i="5"/>
  <c r="K17" i="5"/>
  <c r="I17" i="5"/>
  <c r="G17" i="5" s="1"/>
  <c r="W16" i="5"/>
  <c r="U16" i="5"/>
  <c r="Q16" i="5"/>
  <c r="M16" i="5"/>
  <c r="K16" i="5"/>
  <c r="G16" i="5" s="1"/>
  <c r="I16" i="5"/>
  <c r="W15" i="5"/>
  <c r="U15" i="5"/>
  <c r="Q15" i="5"/>
  <c r="M15" i="5"/>
  <c r="K15" i="5"/>
  <c r="I15" i="5"/>
  <c r="G15" i="5" s="1"/>
  <c r="W14" i="5"/>
  <c r="U14" i="5"/>
  <c r="Q14" i="5"/>
  <c r="M14" i="5"/>
  <c r="K14" i="5"/>
  <c r="I14" i="5"/>
  <c r="G14" i="5"/>
  <c r="W13" i="5"/>
  <c r="U13" i="5"/>
  <c r="Q13" i="5"/>
  <c r="K13" i="5"/>
  <c r="G13" i="5" s="1"/>
  <c r="I13" i="5"/>
  <c r="U12" i="5"/>
  <c r="K12" i="5"/>
  <c r="G12" i="5" s="1"/>
  <c r="I12" i="5"/>
  <c r="W11" i="5"/>
  <c r="U11" i="5"/>
  <c r="S11" i="5"/>
  <c r="Q11" i="5"/>
  <c r="O11" i="5"/>
  <c r="M11" i="5"/>
  <c r="K11" i="5"/>
  <c r="I11" i="5"/>
  <c r="G11" i="5" s="1"/>
  <c r="W10" i="5"/>
  <c r="U10" i="5"/>
  <c r="Q10" i="5"/>
  <c r="M10" i="5"/>
  <c r="I10" i="5"/>
  <c r="G10" i="5" s="1"/>
  <c r="W9" i="5"/>
  <c r="U9" i="5"/>
  <c r="Q9" i="5"/>
  <c r="M9" i="5"/>
  <c r="K9" i="5"/>
  <c r="I9" i="5"/>
  <c r="G9" i="5"/>
</calcChain>
</file>

<file path=xl/sharedStrings.xml><?xml version="1.0" encoding="utf-8"?>
<sst xmlns="http://schemas.openxmlformats.org/spreadsheetml/2006/main" count="1074" uniqueCount="464">
  <si>
    <r>
      <t xml:space="preserve">Poängställning Lure Coursing 2018 HANAR - Internationell KLASS 1
</t>
    </r>
    <r>
      <rPr>
        <b/>
        <sz val="8"/>
        <color indexed="10"/>
        <rFont val="Arial"/>
        <family val="2"/>
      </rPr>
      <t>avst</t>
    </r>
    <r>
      <rPr>
        <sz val="8"/>
        <color indexed="10"/>
        <rFont val="Arial"/>
        <family val="2"/>
      </rPr>
      <t>ämd med officiella listor för samtliga prov - enbart svenskägda hundar</t>
    </r>
  </si>
  <si>
    <t>Hundar som är inmätta med godkänd höjd tillhör internationell klass och kvalar till CACIL-klass på EM.</t>
  </si>
  <si>
    <t xml:space="preserve">20 poäng för första placeringen +  1 poäng per slagna startande hundar (i lopp 1), 18 p för andra placeringen + 1 p per slagna startande hundar (i lopp 1) osv t.o.m tionde placeringen. För placering 11 och nedåt endast 1 poäng per antal slagna startande hundar. Måste ha godkänt prov för att erhålla poäng för slagna hundar. Max 5 prov får tillgodoräknas. </t>
  </si>
  <si>
    <t>Lista för de som tävlar i Internationell klass, dvs hundar inmätta med godkänd höjd. Inmätning med godkänd höjd ska ha skett innan anmälan till provet. OBS! Om hunden inte mätts in hamnar de i Nationell klass</t>
  </si>
  <si>
    <t>Cert
(Cert plats för LCCh)</t>
  </si>
  <si>
    <t>Cert &amp; Champ</t>
  </si>
  <si>
    <t>CACIL</t>
  </si>
  <si>
    <t>Cert &amp; CACIL</t>
  </si>
  <si>
    <t>Cert &amp; R-CACIL</t>
  </si>
  <si>
    <t>R-CACIL</t>
  </si>
  <si>
    <t>poäng i röd text ej i poängräkning</t>
  </si>
  <si>
    <t>totalt 19 hanar inmätta med korrekt höjd startade 2018</t>
  </si>
  <si>
    <r>
      <t xml:space="preserve">Hovdala
</t>
    </r>
    <r>
      <rPr>
        <sz val="8"/>
        <rFont val="Arial"/>
        <family val="2"/>
      </rPr>
      <t xml:space="preserve">avstämd med officiell lista
</t>
    </r>
  </si>
  <si>
    <r>
      <t xml:space="preserve">Katrineholm
</t>
    </r>
    <r>
      <rPr>
        <sz val="8"/>
        <rFont val="Arial"/>
        <family val="2"/>
      </rPr>
      <t xml:space="preserve">avstämd med officiell lista
</t>
    </r>
  </si>
  <si>
    <r>
      <t xml:space="preserve">Östersund
</t>
    </r>
    <r>
      <rPr>
        <sz val="8"/>
        <rFont val="Arial"/>
        <family val="2"/>
      </rPr>
      <t>avstämd med officiell lista
(gemensamt hanar+tikar)</t>
    </r>
  </si>
  <si>
    <r>
      <t xml:space="preserve">Knallasbenning
</t>
    </r>
    <r>
      <rPr>
        <sz val="8"/>
        <rFont val="Arial"/>
        <family val="2"/>
      </rPr>
      <t>avstämd med officiell lista</t>
    </r>
  </si>
  <si>
    <r>
      <t xml:space="preserve">Boden
</t>
    </r>
    <r>
      <rPr>
        <sz val="8"/>
        <rFont val="Arial"/>
        <family val="2"/>
      </rPr>
      <t>avstämd med officiell lista
(gemensamt hanar+tikar)</t>
    </r>
  </si>
  <si>
    <r>
      <t xml:space="preserve">Torne
</t>
    </r>
    <r>
      <rPr>
        <sz val="8"/>
        <rFont val="Arial"/>
        <family val="2"/>
      </rPr>
      <t xml:space="preserve">avstämd med officiell lista
</t>
    </r>
  </si>
  <si>
    <r>
      <t>Katrineholm</t>
    </r>
    <r>
      <rPr>
        <sz val="8"/>
        <rFont val="Arial"/>
        <family val="2"/>
      </rPr>
      <t xml:space="preserve">
avstämd med officiell lista
Internationell
</t>
    </r>
  </si>
  <si>
    <t>EM plats</t>
  </si>
  <si>
    <t>Aktuell</t>
  </si>
  <si>
    <t>Reg</t>
  </si>
  <si>
    <t>EM / CACIL</t>
  </si>
  <si>
    <t>Total</t>
  </si>
  <si>
    <t>19 startande</t>
  </si>
  <si>
    <t>16 startande</t>
  </si>
  <si>
    <t>10 startande</t>
  </si>
  <si>
    <t>15 startande</t>
  </si>
  <si>
    <t>13 startande</t>
  </si>
  <si>
    <t>9 startande</t>
  </si>
  <si>
    <t>Klass 1</t>
  </si>
  <si>
    <t>Placering</t>
  </si>
  <si>
    <t>Nr</t>
  </si>
  <si>
    <t>Namn</t>
  </si>
  <si>
    <t>Kön</t>
  </si>
  <si>
    <t>höjd</t>
  </si>
  <si>
    <t>poäng</t>
  </si>
  <si>
    <t>Poäng</t>
  </si>
  <si>
    <t>Ord 1</t>
  </si>
  <si>
    <t>SE53002/2014</t>
  </si>
  <si>
    <t>McTools Grand Prix (LCCh)</t>
  </si>
  <si>
    <t>h</t>
  </si>
  <si>
    <t>50 cm</t>
  </si>
  <si>
    <t>Ord 2</t>
  </si>
  <si>
    <t>SE42820/2014</t>
  </si>
  <si>
    <t>Idomic's El Ego Boy (LCCh)</t>
  </si>
  <si>
    <t>&lt;51 cm</t>
  </si>
  <si>
    <t>Ord 3</t>
  </si>
  <si>
    <t>SE23955/2015</t>
  </si>
  <si>
    <t>Chase Me Ace Of Spades (LCCh)</t>
  </si>
  <si>
    <t>Ord 4</t>
  </si>
  <si>
    <t>SE47050/2015</t>
  </si>
  <si>
    <t>Dixietown Torsten På Skorsten (LCCh)</t>
  </si>
  <si>
    <t>Reserv 1</t>
  </si>
  <si>
    <t>SE58348/2014</t>
  </si>
  <si>
    <t>Golden Whip Dream On Boston</t>
  </si>
  <si>
    <t>Reserv 2</t>
  </si>
  <si>
    <t>SE19959/2016</t>
  </si>
  <si>
    <t>Dixietown Stick Iväg Jack (LCCh)</t>
  </si>
  <si>
    <t>Reserv 3</t>
  </si>
  <si>
    <t>SE19324/2011</t>
  </si>
  <si>
    <t>Springeldens Mandelkubb (LCCh)</t>
  </si>
  <si>
    <t>Reserv 7</t>
  </si>
  <si>
    <t>SE20664/2014</t>
  </si>
  <si>
    <t>Pompeca's Ocean Blue Pearl (LCCh)</t>
  </si>
  <si>
    <t>48 cm</t>
  </si>
  <si>
    <t>Reserv 8</t>
  </si>
  <si>
    <t>SE55514/2015</t>
  </si>
  <si>
    <t>Jalessas Dry My Soul (LCCh)</t>
  </si>
  <si>
    <t>-</t>
  </si>
  <si>
    <t>Reserv 9</t>
  </si>
  <si>
    <t>SE19957/2016</t>
  </si>
  <si>
    <t>Dixietown Min Greve Av Luxenburg</t>
  </si>
  <si>
    <t>får ej tävla 2019</t>
  </si>
  <si>
    <t>SE46010/2010</t>
  </si>
  <si>
    <t>Schaudt's Giorgio Armani (LCCh)</t>
  </si>
  <si>
    <t>Reserv 10</t>
  </si>
  <si>
    <t>SE46686/2016</t>
  </si>
  <si>
    <t>Barolito's Alserio By Milan</t>
  </si>
  <si>
    <t>Reserv 11</t>
  </si>
  <si>
    <t>SE53003/2014</t>
  </si>
  <si>
    <t>McTools Midnight Run (LCCh)</t>
  </si>
  <si>
    <t>48,5 cm</t>
  </si>
  <si>
    <t>Reserv 12</t>
  </si>
  <si>
    <t>SE47570/2013</t>
  </si>
  <si>
    <t>Stocking Stuffer Majesticanis</t>
  </si>
  <si>
    <t>Reserv 13</t>
  </si>
  <si>
    <t>SE37639/2015</t>
  </si>
  <si>
    <t>Carry On Sharp Shooter</t>
  </si>
  <si>
    <t>tävlar klass 1 från 2018-07</t>
  </si>
  <si>
    <t>SE51332/2015</t>
  </si>
  <si>
    <t>Adagio Prairie Smoke</t>
  </si>
  <si>
    <t>SE18194/2014</t>
  </si>
  <si>
    <t>Dixietown I Got Stripes (LCCh)</t>
  </si>
  <si>
    <t>51 cm</t>
  </si>
  <si>
    <t>SE13976/2014</t>
  </si>
  <si>
    <t>Elmer v.d. Waterram</t>
  </si>
  <si>
    <t>SE12421/2014</t>
  </si>
  <si>
    <t>Chase Me Cybister</t>
  </si>
  <si>
    <t>50,5 cm</t>
  </si>
  <si>
    <t>copyright Pompeca's 2018</t>
  </si>
  <si>
    <r>
      <t xml:space="preserve">Poängställning Lure Coursing 2018  HANAR KLASS 2
</t>
    </r>
    <r>
      <rPr>
        <b/>
        <sz val="8"/>
        <color indexed="10"/>
        <rFont val="Arial"/>
        <family val="2"/>
      </rPr>
      <t>avst</t>
    </r>
    <r>
      <rPr>
        <sz val="8"/>
        <color indexed="10"/>
        <rFont val="Arial"/>
        <family val="2"/>
      </rPr>
      <t>ämd med officiella listor för samtliga prov - enbart svenskägda hundar</t>
    </r>
  </si>
  <si>
    <t>Hundar som är inmätta över maxhöjd för Internationell klass men max +5 cm kvalar till Sprintklass på EM.
Kryptorchider kvalar ej till EM, ej heller de som inte är inmätta när säsongen är slut.</t>
  </si>
  <si>
    <t xml:space="preserve">Lista för de som tävlar i klass 2, dvs kryptorchider, ej inmätta hundar, hundar inmätta med ej godkänd höjd </t>
  </si>
  <si>
    <t>Status inmätning se enskilda prov</t>
  </si>
  <si>
    <r>
      <t xml:space="preserve">Hovdala
</t>
    </r>
    <r>
      <rPr>
        <sz val="8"/>
        <rFont val="Arial"/>
        <family val="2"/>
      </rPr>
      <t>avstämd med officiell lista</t>
    </r>
  </si>
  <si>
    <r>
      <t xml:space="preserve">Katrineholm
</t>
    </r>
    <r>
      <rPr>
        <sz val="8"/>
        <rFont val="Arial"/>
        <family val="2"/>
      </rPr>
      <t>avstämd med officiell lista</t>
    </r>
  </si>
  <si>
    <r>
      <t xml:space="preserve">Östersund
</t>
    </r>
    <r>
      <rPr>
        <sz val="8"/>
        <rFont val="Arial"/>
        <family val="2"/>
      </rPr>
      <t>avstämd med officiell lista</t>
    </r>
  </si>
  <si>
    <r>
      <t xml:space="preserve">Boden
</t>
    </r>
    <r>
      <rPr>
        <sz val="8"/>
        <rFont val="Arial"/>
        <family val="2"/>
      </rPr>
      <t>avstämd med officiell lista</t>
    </r>
  </si>
  <si>
    <t>Status 
inmätning</t>
  </si>
  <si>
    <t>14 startande</t>
  </si>
  <si>
    <t>18 startande</t>
  </si>
  <si>
    <t>6 startande</t>
  </si>
  <si>
    <t>21 startande</t>
  </si>
  <si>
    <t>20 startande</t>
  </si>
  <si>
    <t>24 startande</t>
  </si>
  <si>
    <t>Sprint</t>
  </si>
  <si>
    <t>SE23209/2015</t>
  </si>
  <si>
    <t>Bling'z Bowenit (LCCh)</t>
  </si>
  <si>
    <t>55 cm</t>
  </si>
  <si>
    <t>SE13891/2015</t>
  </si>
  <si>
    <t>Crimdon Crimdon Spedy (LCCh)</t>
  </si>
  <si>
    <t>52 cm</t>
  </si>
  <si>
    <t>SE44522/2016</t>
  </si>
  <si>
    <t xml:space="preserve">Adagio Golden Duck </t>
  </si>
  <si>
    <t>&gt;51 cm
typ 1</t>
  </si>
  <si>
    <t>SE23207/2015</t>
  </si>
  <si>
    <t>Bling'z Bronzit (LCCh)</t>
  </si>
  <si>
    <t>&gt;51 cm</t>
  </si>
  <si>
    <t>SE43321/2012</t>
  </si>
  <si>
    <t>Bling'z Arkos</t>
  </si>
  <si>
    <t>53 cm</t>
  </si>
  <si>
    <t>SE29020/2014</t>
  </si>
  <si>
    <t>Raceheart's Mb Bootstrap (LCCh)</t>
  </si>
  <si>
    <t>54 cm</t>
  </si>
  <si>
    <t>SE35026/2013</t>
  </si>
  <si>
    <t>Schaudt's Stig Järrel (LCCh)</t>
  </si>
  <si>
    <t>(Reserv 7)
måste mätas</t>
  </si>
  <si>
    <t>SE17843/2017</t>
  </si>
  <si>
    <t>Calling You Algot</t>
  </si>
  <si>
    <t>ej inmätt</t>
  </si>
  <si>
    <t>SE26604/2013</t>
  </si>
  <si>
    <t>Golden Whip H-D's Black Opal (LCCh)</t>
  </si>
  <si>
    <t>(Reserv 9)
måste mätas</t>
  </si>
  <si>
    <t>SE17847/2017</t>
  </si>
  <si>
    <t>Calling You Evert</t>
  </si>
  <si>
    <t>SE42821/2014</t>
  </si>
  <si>
    <t>Idomic's El Cocktail Jet</t>
  </si>
  <si>
    <t>(Reserv 11)
måste mätas</t>
  </si>
  <si>
    <t>SE54937/2012</t>
  </si>
  <si>
    <t>Albicans Rustan</t>
  </si>
  <si>
    <t>SE42819/2014</t>
  </si>
  <si>
    <t>Idomic's El Commander Crow (LCCh)</t>
  </si>
  <si>
    <t>SE39128/2014</t>
  </si>
  <si>
    <t>Jalessas Oberyn (LCCh)</t>
  </si>
  <si>
    <t>Reserv 14</t>
  </si>
  <si>
    <t>SE36315/2015</t>
  </si>
  <si>
    <t>Klenod's Yum-Yum</t>
  </si>
  <si>
    <t>Reserv 15</t>
  </si>
  <si>
    <t>SE32868/2014</t>
  </si>
  <si>
    <t>Khalibadh Påsktupp</t>
  </si>
  <si>
    <t>Reserv 16</t>
  </si>
  <si>
    <t>SE44834/2015</t>
  </si>
  <si>
    <t>Noggerdog's Lagerkrans</t>
  </si>
  <si>
    <t>krypt</t>
  </si>
  <si>
    <t>SE32979/2010</t>
  </si>
  <si>
    <t>Torshammarens Grimar</t>
  </si>
  <si>
    <t>h (krypt)</t>
  </si>
  <si>
    <t>Reserv 17</t>
  </si>
  <si>
    <t>SE36323/2015</t>
  </si>
  <si>
    <t>Delaklin's Alwats By Your Side</t>
  </si>
  <si>
    <t>Reserv 18</t>
  </si>
  <si>
    <t>SE32340/2017</t>
  </si>
  <si>
    <t xml:space="preserve">Vg's Nosar Mio Min Mio </t>
  </si>
  <si>
    <t>Reserv 19</t>
  </si>
  <si>
    <t>SE41150/2015</t>
  </si>
  <si>
    <t>Slingshot's Tea N Tea</t>
  </si>
  <si>
    <t>SE66318/2010</t>
  </si>
  <si>
    <t>Grändens Janus</t>
  </si>
  <si>
    <t>SE44835/2015</t>
  </si>
  <si>
    <t>Noggerdog's Rönnbärskrans</t>
  </si>
  <si>
    <t>SE38186/2016</t>
  </si>
  <si>
    <t>Burnt Sienna Tamburine</t>
  </si>
  <si>
    <t>(Reserv 21)
måste mätas</t>
  </si>
  <si>
    <t>SE35257/2014</t>
  </si>
  <si>
    <t>Adagio Mindfulness</t>
  </si>
  <si>
    <t>Reserv 22</t>
  </si>
  <si>
    <t>SE32650/2015</t>
  </si>
  <si>
    <t>Crazy Owl's Långväga-Sven</t>
  </si>
  <si>
    <t>Reserv 23</t>
  </si>
  <si>
    <t>SE37638/2015</t>
  </si>
  <si>
    <t>Carry On Rust Never Sleeps</t>
  </si>
  <si>
    <t>SE54273/2016</t>
  </si>
  <si>
    <t xml:space="preserve">Akwey Go-Bye </t>
  </si>
  <si>
    <t>Reserv 25</t>
  </si>
  <si>
    <t>SE51521/2014</t>
  </si>
  <si>
    <t>Samines Lillebror</t>
  </si>
  <si>
    <t>SE50994/2016</t>
  </si>
  <si>
    <t>Chase Me Eddie Vedder</t>
  </si>
  <si>
    <t>SE27819/2017</t>
  </si>
  <si>
    <t>Carry On All In</t>
  </si>
  <si>
    <t>SE55516/2015</t>
  </si>
  <si>
    <t>Jalessas Do You Love Me</t>
  </si>
  <si>
    <t>SE39137/2014</t>
  </si>
  <si>
    <t>Springeldens Plupp</t>
  </si>
  <si>
    <t>SE38500/2013</t>
  </si>
  <si>
    <t xml:space="preserve">Blazing Keys Aydon Castle </t>
  </si>
  <si>
    <t>SE10877/2012</t>
  </si>
  <si>
    <t>Carry On Mr Mumble</t>
  </si>
  <si>
    <t>SE50657/2013</t>
  </si>
  <si>
    <t>Zabosa's Run Frostiga Frost</t>
  </si>
  <si>
    <t>SE48300/2010</t>
  </si>
  <si>
    <t>Miraqulix Break Of Dawn</t>
  </si>
  <si>
    <t>SE31720/2015</t>
  </si>
  <si>
    <t>Burnt Sienna Brochant</t>
  </si>
  <si>
    <t>SE66825/2010</t>
  </si>
  <si>
    <t>Flowertwig's Bark At The Moon</t>
  </si>
  <si>
    <t>SE28559/2016</t>
  </si>
  <si>
    <t xml:space="preserve">Pompeca's Broken Diamond Quarry </t>
  </si>
  <si>
    <t>SE19320/2011</t>
  </si>
  <si>
    <t>Springeldens Kanelbulle</t>
  </si>
  <si>
    <t>SE32534/2012</t>
  </si>
  <si>
    <t>Noggerdog's Brolio</t>
  </si>
  <si>
    <t>SE37142/2016</t>
  </si>
  <si>
    <t>Nemaz Problemaz Big Bad Wolf</t>
  </si>
  <si>
    <t>SE53030/2012</t>
  </si>
  <si>
    <t>Zelig Love's Reward</t>
  </si>
  <si>
    <t>SE26607/2013</t>
  </si>
  <si>
    <t>Golden Whip H-D's Pure Amber</t>
  </si>
  <si>
    <t>SE25308/2012</t>
  </si>
  <si>
    <t>Del Khazaris The Sweet Summertime</t>
  </si>
  <si>
    <r>
      <t xml:space="preserve">Poängställning Lure Coursing 2018 TIKAR - Internationell KLASS 1
</t>
    </r>
    <r>
      <rPr>
        <b/>
        <sz val="8"/>
        <color indexed="10"/>
        <rFont val="Arial"/>
        <family val="2"/>
      </rPr>
      <t>avst</t>
    </r>
    <r>
      <rPr>
        <sz val="8"/>
        <color indexed="10"/>
        <rFont val="Arial"/>
        <family val="2"/>
      </rPr>
      <t>ämd med officiella listor för samtliga prov - enbart svenskägda hundar</t>
    </r>
  </si>
  <si>
    <t>Hundar som är inmätta med godkänd höjd tillhör internationell klass och kvalar till CACIL-klass på EM</t>
  </si>
  <si>
    <t>totalt 51 tikar inmätta med korrekt höjd startade 2018</t>
  </si>
  <si>
    <t>26 startande</t>
  </si>
  <si>
    <t>25 startande</t>
  </si>
  <si>
    <t>22 startande</t>
  </si>
  <si>
    <t>choose</t>
  </si>
  <si>
    <t>SE49113/2012</t>
  </si>
  <si>
    <t>Dixietown Syster Jane (LCCh)</t>
  </si>
  <si>
    <t>t</t>
  </si>
  <si>
    <t>SE42824/2014</t>
  </si>
  <si>
    <t>Idomic's El Roquepine (LCCh)</t>
  </si>
  <si>
    <t>46,5 cm</t>
  </si>
  <si>
    <t>SE39132/2014</t>
  </si>
  <si>
    <t>Jalessas Cersei (LCCh)</t>
  </si>
  <si>
    <t>&lt;48 cm</t>
  </si>
  <si>
    <t>SE35030/2013</t>
  </si>
  <si>
    <t>Schaudt's Hjördis Petterson (LCCh)</t>
  </si>
  <si>
    <t>SE35027/2013</t>
  </si>
  <si>
    <t>Schaudt's Alice Babs (LCCh)</t>
  </si>
  <si>
    <t>SE55524/2015</t>
  </si>
  <si>
    <t>Jalessas Amarula Tree</t>
  </si>
  <si>
    <t>SE66313/2010</t>
  </si>
  <si>
    <t>Grändens Diana (LCCh)</t>
  </si>
  <si>
    <t>SE55522/2015</t>
  </si>
  <si>
    <t>Jalessas I Choose You (LCCh)</t>
  </si>
  <si>
    <t>SE47051/2015</t>
  </si>
  <si>
    <t>Dixietown Alptoppens Ros (LCCh)</t>
  </si>
  <si>
    <t>SE28556/2016</t>
  </si>
  <si>
    <t>Pompeca's Blue Sapphire Quarry</t>
  </si>
  <si>
    <t>SE44475/2014</t>
  </si>
  <si>
    <t>Pompeca's Mumlans First Black Love</t>
  </si>
  <si>
    <t>SE37636/2015</t>
  </si>
  <si>
    <t>Carry On Mini Me (LCCh)</t>
  </si>
  <si>
    <t>&gt;48 cm</t>
  </si>
  <si>
    <t>SE16248/2014</t>
  </si>
  <si>
    <t>Per-Mobile Red Rose</t>
  </si>
  <si>
    <t>SE33077/2012</t>
  </si>
  <si>
    <t xml:space="preserve">Springeldens Miss Piggy 	</t>
  </si>
  <si>
    <t>SE16698/2014</t>
  </si>
  <si>
    <t>Springeldens Honk Honk</t>
  </si>
  <si>
    <t>SE44477/2014</t>
  </si>
  <si>
    <t>Pompeca's Forever Love To Meide</t>
  </si>
  <si>
    <t>47,5 cm</t>
  </si>
  <si>
    <t>SE20705/2013</t>
  </si>
  <si>
    <t>Flodaskogens Glenza</t>
  </si>
  <si>
    <t>SE39142/2014</t>
  </si>
  <si>
    <t>Springeldens Tummelisa (LCCh)</t>
  </si>
  <si>
    <t>47 cm</t>
  </si>
  <si>
    <t>SE28561/2016</t>
  </si>
  <si>
    <t>Pompeca's Close To Turmalin Quarry</t>
  </si>
  <si>
    <t>SE42822/2014</t>
  </si>
  <si>
    <t>Idomic's El Gelinotte (LCCh)</t>
  </si>
  <si>
    <t>SE40283/2014</t>
  </si>
  <si>
    <t>Nahiniz Evening Stone Effect</t>
  </si>
  <si>
    <t>Reserv 20</t>
  </si>
  <si>
    <t>SE53006/2014</t>
  </si>
  <si>
    <t>McTools Hit &amp; Run</t>
  </si>
  <si>
    <t>44,5 cm</t>
  </si>
  <si>
    <t>Reserv 21</t>
  </si>
  <si>
    <t>SE10734/2013</t>
  </si>
  <si>
    <t>Källornas Una</t>
  </si>
  <si>
    <t>SE49569/2015</t>
  </si>
  <si>
    <t>Just Like Magic Lyckliga dagar</t>
  </si>
  <si>
    <t>SE28830/2013</t>
  </si>
  <si>
    <t>Miraqulix Croglin Vampire</t>
  </si>
  <si>
    <t>Reserv 24</t>
  </si>
  <si>
    <t>SE34823/2013</t>
  </si>
  <si>
    <t>Islington</t>
  </si>
  <si>
    <t>SE34822/2013</t>
  </si>
  <si>
    <t>Ashby</t>
  </si>
  <si>
    <t>SE34628/2013</t>
  </si>
  <si>
    <t>Zadiyads Givenchy</t>
  </si>
  <si>
    <t>SE27818/2017</t>
  </si>
  <si>
    <t>Carry On Twice Double You</t>
  </si>
  <si>
    <t>SE26612/2013</t>
  </si>
  <si>
    <t>Golden Whip H-D's Twinkle Diamond</t>
  </si>
  <si>
    <t>SE34479/2012</t>
  </si>
  <si>
    <t>Golden Whip Black Eyed Tiger (LCCh)</t>
  </si>
  <si>
    <t>SE45289/2013</t>
  </si>
  <si>
    <t>Storm Fighter's Anastasia (LCCh)</t>
  </si>
  <si>
    <t>SE36367/2013</t>
  </si>
  <si>
    <t>Klenod's Xandra (LCCh)</t>
  </si>
  <si>
    <t>SE39131/2014</t>
  </si>
  <si>
    <t>Jalessas Nymeria</t>
  </si>
  <si>
    <t>SE47052/2015</t>
  </si>
  <si>
    <t xml:space="preserve">Dixietown Rumba i Engelska Parken </t>
  </si>
  <si>
    <t>SE11100/2017</t>
  </si>
  <si>
    <t>Nahiniz Ganymedes Of The Galaxy</t>
  </si>
  <si>
    <t>SE46834/2014</t>
  </si>
  <si>
    <t>Sobers Teasel</t>
  </si>
  <si>
    <t>SE34631/2013</t>
  </si>
  <si>
    <t>Zadiyads Guerlain</t>
  </si>
  <si>
    <t>SE49111/2012</t>
  </si>
  <si>
    <t>Dixietown Sofia Dansar Go-Go</t>
  </si>
  <si>
    <t>SE47239/2012</t>
  </si>
  <si>
    <t>Hot Isle Pumpkin</t>
  </si>
  <si>
    <t>SE60043/2012</t>
  </si>
  <si>
    <t>Nemaz Problemaz Cupid In My Heart</t>
  </si>
  <si>
    <t>SE12428/2014</t>
  </si>
  <si>
    <t>Chase Me Luna</t>
  </si>
  <si>
    <t>SE23959/2015</t>
  </si>
  <si>
    <t>Chase Me Tempest Storm</t>
  </si>
  <si>
    <t>SE46658/2014</t>
  </si>
  <si>
    <t>Zelig The Call Of Cthulhu</t>
  </si>
  <si>
    <t>SE17258/2010</t>
  </si>
  <si>
    <t>Pompeca's Honey Summer G Girl</t>
  </si>
  <si>
    <t>SE46469/2013</t>
  </si>
  <si>
    <t>Burnt Sienna Willow Springs</t>
  </si>
  <si>
    <t>SE12430/2014</t>
  </si>
  <si>
    <t>Chase Me Stars Without Stripes</t>
  </si>
  <si>
    <t>SE13411/2015</t>
  </si>
  <si>
    <t>Nemaz Problemaz Bigbadaboom</t>
  </si>
  <si>
    <t>SE34629/2013</t>
  </si>
  <si>
    <t>Zadiyads Gaultier</t>
  </si>
  <si>
    <t>SE16699/2014</t>
  </si>
  <si>
    <t>Springeldens Just A Minute</t>
  </si>
  <si>
    <t>46 cm</t>
  </si>
  <si>
    <t>SE17432/2013</t>
  </si>
  <si>
    <t>Camyrra's Silver Legacy</t>
  </si>
  <si>
    <t>copyright Pompeca's 2017</t>
  </si>
  <si>
    <r>
      <t xml:space="preserve">Poängställning Lure Coursing 2018 TIKAR KLASS 2
</t>
    </r>
    <r>
      <rPr>
        <b/>
        <sz val="8"/>
        <color indexed="10"/>
        <rFont val="Arial"/>
        <family val="2"/>
      </rPr>
      <t>avst</t>
    </r>
    <r>
      <rPr>
        <sz val="8"/>
        <color indexed="10"/>
        <rFont val="Arial"/>
        <family val="2"/>
      </rPr>
      <t>ämd med officiella listor för samtliga prov - enbart svenskägda hundar</t>
    </r>
  </si>
  <si>
    <t>OBS! Enbart hundar som är inmätta med för hög höjd kvalar till Sprinterklass på EM
Höjd för sprintklass tikar är &gt;47 cm - max 52 cm. 
Tikar som inte är är inmätta när säsongen är slut kvalar ej till EM.</t>
  </si>
  <si>
    <t>Lista för de som tävlar i Nationell klass, dvs ej inmätta hundar samt hundar inmätta med ej godkänd höjd</t>
  </si>
  <si>
    <t>totalt 46 tikar som är inmätta med ej godkänd höjd, eller som inte är inmätta startade 2018</t>
  </si>
  <si>
    <t>12 startande</t>
  </si>
  <si>
    <t>7 startande</t>
  </si>
  <si>
    <t>SE13810/2017</t>
  </si>
  <si>
    <t xml:space="preserve">Fierce Fireball Feels Like Gold </t>
  </si>
  <si>
    <t>SE29340/2015</t>
  </si>
  <si>
    <t>Springeldens Katten Också</t>
  </si>
  <si>
    <t>SE17845/2017</t>
  </si>
  <si>
    <t>Calling You Cleo</t>
  </si>
  <si>
    <t>SE17670/2016</t>
  </si>
  <si>
    <t>Medali Playing By The Rules (LCCh)</t>
  </si>
  <si>
    <t>får ej tävla sprint</t>
  </si>
  <si>
    <t>SE55523/2015</t>
  </si>
  <si>
    <t>Jalessas Darling (LCCh)</t>
  </si>
  <si>
    <t>&gt;52 cm</t>
  </si>
  <si>
    <t>SE46014/2016</t>
  </si>
  <si>
    <t>Raceheart's MB Butterfree</t>
  </si>
  <si>
    <t>SE59670/2016</t>
  </si>
  <si>
    <t xml:space="preserve">Goat-Wool Alecto </t>
  </si>
  <si>
    <t>SE33165/2016</t>
  </si>
  <si>
    <t>Hot Isle Triana</t>
  </si>
  <si>
    <t>SE12438/2016</t>
  </si>
  <si>
    <t xml:space="preserve">Southpoint Wild Rose </t>
  </si>
  <si>
    <t>SE32647/2015</t>
  </si>
  <si>
    <t>Crazy Owl's Saga Puttrar På</t>
  </si>
  <si>
    <t>SE29017/2014</t>
  </si>
  <si>
    <t>Raceheart's Mb Black Pearl</t>
  </si>
  <si>
    <t>SE55046/2014</t>
  </si>
  <si>
    <t>Axrace's Lady Grey (LCCh)</t>
  </si>
  <si>
    <t>51,5 cm</t>
  </si>
  <si>
    <t>SE23211/2015</t>
  </si>
  <si>
    <t>Bling'z Briljant</t>
  </si>
  <si>
    <t>SE29023/2014</t>
  </si>
  <si>
    <t>Raceheart's Mb Elisabeth Swann (LCCh)</t>
  </si>
  <si>
    <t>SE20325/2010</t>
  </si>
  <si>
    <t>Farmor Selmas The Girl Is Mine</t>
  </si>
  <si>
    <t>SE34487/2012</t>
  </si>
  <si>
    <t>Let's Run Worth Every Step (LCCh)</t>
  </si>
  <si>
    <t>49,5 cm</t>
  </si>
  <si>
    <t>SE46016/2016</t>
  </si>
  <si>
    <t>RaceHeart's MB Eevee</t>
  </si>
  <si>
    <t>SE46246/2013</t>
  </si>
  <si>
    <t>Play A While Black Rose (LCCh)</t>
  </si>
  <si>
    <t>Se40366/2010</t>
  </si>
  <si>
    <t>Axrace's Wake Up Call</t>
  </si>
  <si>
    <t>SE58733/2016</t>
  </si>
  <si>
    <t>Dyanitos Driva</t>
  </si>
  <si>
    <t>SE25392/2017</t>
  </si>
  <si>
    <t>Me&amp;Mydogs Dot</t>
  </si>
  <si>
    <t>SE23956/2015</t>
  </si>
  <si>
    <t>Chase Me Dita Von Teese</t>
  </si>
  <si>
    <t>SE32797/2012</t>
  </si>
  <si>
    <t>Mad About Saffron Cowberry</t>
  </si>
  <si>
    <t>SE28827/2013</t>
  </si>
  <si>
    <t>Miraqulix Cusquena</t>
  </si>
  <si>
    <t>SE35029/2013</t>
  </si>
  <si>
    <t>Schaudt's Signe Hasso</t>
  </si>
  <si>
    <t>SE18019/2017</t>
  </si>
  <si>
    <t>Ghostrider's Nice N'cute</t>
  </si>
  <si>
    <t>SE48298/2010</t>
  </si>
  <si>
    <t>Miraqulix Billie Jean</t>
  </si>
  <si>
    <t>SE16101/2017</t>
  </si>
  <si>
    <t>Tappinskis Xpect A Kiss</t>
  </si>
  <si>
    <t>SE51229/2015</t>
  </si>
  <si>
    <t>Play A While People Need Love</t>
  </si>
  <si>
    <t>SE49110/2012</t>
  </si>
  <si>
    <t>Dixietown Mjölnarens Irene</t>
  </si>
  <si>
    <t>SE51526/2014</t>
  </si>
  <si>
    <t>Samines Madicken</t>
  </si>
  <si>
    <t>SE20776/2014</t>
  </si>
  <si>
    <t>Bellsweets Tracy Bond</t>
  </si>
  <si>
    <t>SE18455/2015</t>
  </si>
  <si>
    <t>Antheartica's Water And A Flame</t>
  </si>
  <si>
    <t>SE44430/2012</t>
  </si>
  <si>
    <t>Springeldens Oppopoppa</t>
  </si>
  <si>
    <t>SE37635/2015</t>
  </si>
  <si>
    <t xml:space="preserve">Carry On Cinnamon Girl </t>
  </si>
  <si>
    <t>SE29018/2014</t>
  </si>
  <si>
    <t xml:space="preserve">Raceheart's Mb Tia Dalma </t>
  </si>
  <si>
    <t>SE17846/2017</t>
  </si>
  <si>
    <t>Calling You Daisy</t>
  </si>
  <si>
    <t>SE11467/2015</t>
  </si>
  <si>
    <t>Carry On Chiquitita Violetta</t>
  </si>
  <si>
    <t>SE38505/2013</t>
  </si>
  <si>
    <t>Blazing Keys Airlie Castle</t>
  </si>
  <si>
    <t>SE25830/2017</t>
  </si>
  <si>
    <t>Golden Whip Silence Pink Puma</t>
  </si>
  <si>
    <t>SE49568/2015</t>
  </si>
  <si>
    <t>Just Like Magic För Kärleks Skull</t>
  </si>
  <si>
    <t>SE50988/2016</t>
  </si>
  <si>
    <t>Chase Me Crown Of Thorns</t>
  </si>
  <si>
    <t>SE35101/2011</t>
  </si>
  <si>
    <t>Hot Isle Nicorana</t>
  </si>
  <si>
    <t>SE18196/2014</t>
  </si>
  <si>
    <t>Dixietown Orange Blossom Special</t>
  </si>
  <si>
    <t>SE44427/2012</t>
  </si>
  <si>
    <t>Springeldens Eia Popeia</t>
  </si>
  <si>
    <t>SE25394/2017</t>
  </si>
  <si>
    <t>Me&amp;Mydogs Miss Daisy</t>
  </si>
  <si>
    <t>totalt 48 hanar som är inmätta med ej godkänd höjd, inte inmätta eller som är kryptorchider startade 2018</t>
  </si>
  <si>
    <t>(Reserv 12)
måste mätas</t>
  </si>
  <si>
    <t>SE39167/2017</t>
  </si>
  <si>
    <t>Rappfoten's Harry Lime</t>
  </si>
  <si>
    <t>54,5 cm</t>
  </si>
  <si>
    <t>(Reserv 22)
måste mätas</t>
  </si>
  <si>
    <t>(Reserv 25)
måste mätas</t>
  </si>
  <si>
    <t>(Ord 3)
måste mätas</t>
  </si>
  <si>
    <t>(Reserv 17)
måste mätas</t>
  </si>
  <si>
    <t>tävlar klass 1 från 2018-08-11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</si>
</sst>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i/>
      <sz val="8"/>
      <color rgb="FFFF0000"/>
      <name val="Arial"/>
      <family val="2"/>
    </font>
    <font>
      <sz val="8"/>
      <color indexed="8"/>
      <name val="Arial"/>
      <family val="2"/>
    </font>
    <font>
      <sz val="8"/>
      <color rgb="FFFF0000"/>
      <name val="Arial"/>
      <family val="2"/>
    </font>
    <font>
      <b/>
      <sz val="9"/>
      <color rgb="FFFF0000"/>
      <name val="Arial"/>
      <family val="2"/>
    </font>
    <font>
      <i/>
      <sz val="8"/>
      <name val="Arial"/>
      <family val="2"/>
    </font>
    <font>
      <sz val="8"/>
      <color rgb="FFFF0000"/>
      <name val="Calibri"/>
      <family val="2"/>
    </font>
    <font>
      <sz val="8"/>
      <name val="Calibri"/>
      <family val="2"/>
      <scheme val="minor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8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1" fillId="0" borderId="0" xfId="1" applyAlignment="1">
      <alignment vertical="center"/>
    </xf>
    <xf numFmtId="0" fontId="2" fillId="0" borderId="0" xfId="1" applyFont="1" applyFill="1" applyBorder="1" applyAlignment="1">
      <alignment horizontal="left" vertical="center"/>
    </xf>
    <xf numFmtId="0" fontId="1" fillId="0" borderId="0" xfId="1" applyAlignment="1">
      <alignment horizontal="center" vertical="center"/>
    </xf>
    <xf numFmtId="0" fontId="6" fillId="0" borderId="0" xfId="1" applyFont="1" applyFill="1" applyBorder="1" applyAlignment="1">
      <alignment horizontal="left" vertical="center" wrapText="1"/>
    </xf>
    <xf numFmtId="0" fontId="1" fillId="0" borderId="0" xfId="1" applyFill="1" applyAlignment="1">
      <alignment vertical="center"/>
    </xf>
    <xf numFmtId="0" fontId="6" fillId="0" borderId="0" xfId="1" applyFont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left" vertical="center" wrapText="1"/>
    </xf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2" fillId="9" borderId="6" xfId="1" applyFont="1" applyFill="1" applyBorder="1" applyAlignment="1">
      <alignment horizontal="center" vertical="center"/>
    </xf>
    <xf numFmtId="0" fontId="2" fillId="9" borderId="6" xfId="1" applyFont="1" applyFill="1" applyBorder="1" applyAlignment="1">
      <alignment horizontal="left" vertical="center"/>
    </xf>
    <xf numFmtId="0" fontId="1" fillId="9" borderId="6" xfId="1" applyFill="1" applyBorder="1" applyAlignment="1">
      <alignment vertical="center"/>
    </xf>
    <xf numFmtId="0" fontId="6" fillId="9" borderId="6" xfId="1" applyFont="1" applyFill="1" applyBorder="1" applyAlignment="1">
      <alignment horizontal="center" vertical="center"/>
    </xf>
    <xf numFmtId="0" fontId="9" fillId="9" borderId="6" xfId="1" applyFont="1" applyFill="1" applyBorder="1" applyAlignment="1">
      <alignment horizontal="center" vertical="center"/>
    </xf>
    <xf numFmtId="14" fontId="1" fillId="2" borderId="2" xfId="1" applyNumberFormat="1" applyFont="1" applyFill="1" applyBorder="1" applyAlignment="1">
      <alignment horizontal="center" vertical="center"/>
    </xf>
    <xf numFmtId="0" fontId="1" fillId="2" borderId="3" xfId="1" applyFont="1" applyFill="1" applyBorder="1" applyAlignment="1">
      <alignment horizontal="center" vertical="center"/>
    </xf>
    <xf numFmtId="0" fontId="2" fillId="9" borderId="7" xfId="1" applyFont="1" applyFill="1" applyBorder="1" applyAlignment="1">
      <alignment horizontal="center" vertical="center"/>
    </xf>
    <xf numFmtId="0" fontId="2" fillId="9" borderId="7" xfId="1" applyFont="1" applyFill="1" applyBorder="1" applyAlignment="1">
      <alignment horizontal="left" vertical="center"/>
    </xf>
    <xf numFmtId="0" fontId="2" fillId="9" borderId="7" xfId="1" applyFont="1" applyFill="1" applyBorder="1" applyAlignment="1">
      <alignment vertical="center"/>
    </xf>
    <xf numFmtId="0" fontId="9" fillId="9" borderId="7" xfId="1" applyFont="1" applyFill="1" applyBorder="1" applyAlignment="1">
      <alignment horizontal="center" vertical="center"/>
    </xf>
    <xf numFmtId="0" fontId="9" fillId="9" borderId="8" xfId="1" applyFont="1" applyFill="1" applyBorder="1" applyAlignment="1">
      <alignment horizontal="center" vertical="center"/>
    </xf>
    <xf numFmtId="0" fontId="9" fillId="9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vertical="center"/>
    </xf>
    <xf numFmtId="0" fontId="6" fillId="1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11" borderId="1" xfId="1" applyFont="1" applyFill="1" applyBorder="1" applyAlignment="1">
      <alignment horizontal="center" vertical="center"/>
    </xf>
    <xf numFmtId="0" fontId="6" fillId="10" borderId="1" xfId="1" applyFont="1" applyFill="1" applyBorder="1" applyAlignment="1" applyProtection="1">
      <alignment horizontal="center" vertical="center"/>
    </xf>
    <xf numFmtId="0" fontId="6" fillId="12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6" fillId="13" borderId="1" xfId="1" applyFont="1" applyFill="1" applyBorder="1" applyAlignment="1">
      <alignment horizontal="center" vertical="center"/>
    </xf>
    <xf numFmtId="0" fontId="1" fillId="0" borderId="0" xfId="1" applyBorder="1" applyAlignment="1">
      <alignment vertical="center"/>
    </xf>
    <xf numFmtId="0" fontId="11" fillId="1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 applyProtection="1">
      <alignment horizontal="center" vertical="center"/>
    </xf>
    <xf numFmtId="0" fontId="1" fillId="12" borderId="1" xfId="1" applyFont="1" applyFill="1" applyBorder="1" applyAlignment="1">
      <alignment horizontal="center" vertical="center" wrapText="1"/>
    </xf>
    <xf numFmtId="0" fontId="6" fillId="14" borderId="1" xfId="1" applyFont="1" applyFill="1" applyBorder="1" applyAlignment="1">
      <alignment horizontal="center" vertical="center"/>
    </xf>
    <xf numFmtId="0" fontId="6" fillId="15" borderId="1" xfId="1" applyFont="1" applyFill="1" applyBorder="1" applyAlignment="1" applyProtection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6" fillId="15" borderId="1" xfId="1" applyFont="1" applyFill="1" applyBorder="1" applyAlignment="1">
      <alignment horizontal="center" vertical="center"/>
    </xf>
    <xf numFmtId="0" fontId="6" fillId="15" borderId="1" xfId="1" applyFont="1" applyFill="1" applyBorder="1" applyAlignment="1">
      <alignment horizontal="center" vertical="center" wrapText="1"/>
    </xf>
    <xf numFmtId="0" fontId="6" fillId="12" borderId="1" xfId="1" applyFont="1" applyFill="1" applyBorder="1" applyAlignment="1" applyProtection="1">
      <alignment horizontal="center" vertical="center"/>
    </xf>
    <xf numFmtId="0" fontId="6" fillId="10" borderId="1" xfId="1" applyFont="1" applyFill="1" applyBorder="1" applyAlignment="1">
      <alignment horizontal="center" vertical="center" wrapText="1"/>
    </xf>
    <xf numFmtId="0" fontId="6" fillId="12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left"/>
    </xf>
    <xf numFmtId="0" fontId="1" fillId="0" borderId="0" xfId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6" fillId="9" borderId="6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11" fillId="15" borderId="1" xfId="1" applyFont="1" applyFill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 applyProtection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6" fillId="12" borderId="1" xfId="1" applyFont="1" applyFill="1" applyBorder="1" applyAlignment="1">
      <alignment horizontal="left" vertical="center"/>
    </xf>
    <xf numFmtId="0" fontId="1" fillId="0" borderId="1" xfId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17" fillId="0" borderId="0" xfId="1" applyFont="1" applyFill="1" applyBorder="1" applyAlignment="1">
      <alignment horizontal="left" vertical="center"/>
    </xf>
    <xf numFmtId="0" fontId="18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horizontal="center" vertical="center"/>
    </xf>
    <xf numFmtId="0" fontId="18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7" fillId="10" borderId="8" xfId="1" applyFont="1" applyFill="1" applyBorder="1" applyAlignment="1" applyProtection="1">
      <alignment horizontal="center" vertical="center"/>
    </xf>
    <xf numFmtId="0" fontId="10" fillId="12" borderId="1" xfId="1" applyFont="1" applyFill="1" applyBorder="1" applyAlignment="1" applyProtection="1">
      <alignment horizontal="center" vertical="center"/>
    </xf>
    <xf numFmtId="0" fontId="10" fillId="12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 applyProtection="1">
      <alignment horizontal="center" vertical="center"/>
    </xf>
    <xf numFmtId="0" fontId="7" fillId="10" borderId="1" xfId="1" applyFont="1" applyFill="1" applyBorder="1" applyAlignment="1">
      <alignment horizontal="center" vertical="center" wrapText="1"/>
    </xf>
    <xf numFmtId="0" fontId="7" fillId="15" borderId="8" xfId="1" applyFont="1" applyFill="1" applyBorder="1" applyAlignment="1">
      <alignment horizontal="center" vertical="center" wrapText="1"/>
    </xf>
    <xf numFmtId="0" fontId="7" fillId="15" borderId="1" xfId="1" applyFont="1" applyFill="1" applyBorder="1" applyAlignment="1">
      <alignment horizontal="center" vertical="center" wrapText="1"/>
    </xf>
    <xf numFmtId="0" fontId="7" fillId="10" borderId="8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 applyProtection="1">
      <alignment horizontal="center" vertical="center"/>
    </xf>
    <xf numFmtId="0" fontId="6" fillId="16" borderId="1" xfId="1" applyFont="1" applyFill="1" applyBorder="1" applyAlignment="1" applyProtection="1">
      <alignment horizontal="center" vertical="center"/>
    </xf>
    <xf numFmtId="0" fontId="7" fillId="10" borderId="1" xfId="1" applyFont="1" applyFill="1" applyBorder="1" applyAlignment="1" applyProtection="1">
      <alignment horizontal="center" vertical="center"/>
    </xf>
    <xf numFmtId="0" fontId="7" fillId="10" borderId="9" xfId="1" applyFont="1" applyFill="1" applyBorder="1" applyAlignment="1">
      <alignment horizontal="center" vertical="center" wrapText="1"/>
    </xf>
    <xf numFmtId="0" fontId="1" fillId="0" borderId="0" xfId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" fillId="0" borderId="1" xfId="1" quotePrefix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 applyProtection="1">
      <alignment horizontal="center" vertical="center"/>
    </xf>
    <xf numFmtId="0" fontId="6" fillId="12" borderId="1" xfId="1" applyFont="1" applyFill="1" applyBorder="1" applyAlignment="1" applyProtection="1">
      <alignment horizontal="left" vertical="center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1" fillId="0" borderId="1" xfId="1" applyBorder="1" applyAlignment="1">
      <alignment horizontal="left" vertical="center"/>
    </xf>
    <xf numFmtId="0" fontId="5" fillId="0" borderId="0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1" fillId="0" borderId="1" xfId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/>
    </xf>
    <xf numFmtId="0" fontId="6" fillId="6" borderId="1" xfId="1" applyFont="1" applyFill="1" applyBorder="1" applyAlignment="1">
      <alignment horizontal="center" vertical="center"/>
    </xf>
    <xf numFmtId="0" fontId="6" fillId="7" borderId="1" xfId="1" applyFont="1" applyFill="1" applyBorder="1" applyAlignment="1">
      <alignment horizontal="center" vertical="center"/>
    </xf>
    <xf numFmtId="0" fontId="6" fillId="8" borderId="1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F4A246B8-2A8B-413A-8EF1-F1EDEB767A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010E1-7708-47E3-A9BD-AEFF4BA578C2}">
  <sheetPr>
    <pageSetUpPr fitToPage="1"/>
  </sheetPr>
  <dimension ref="A1:IU99"/>
  <sheetViews>
    <sheetView zoomScaleNormal="100" workbookViewId="0">
      <selection activeCell="B21" sqref="B21"/>
    </sheetView>
  </sheetViews>
  <sheetFormatPr defaultColWidth="8" defaultRowHeight="12.75" x14ac:dyDescent="0.25"/>
  <cols>
    <col min="1" max="1" width="11.42578125" style="1" customWidth="1"/>
    <col min="2" max="2" width="10.42578125" style="3" customWidth="1"/>
    <col min="3" max="3" width="14.28515625" style="52" customWidth="1"/>
    <col min="4" max="4" width="35.42578125" style="1" customWidth="1"/>
    <col min="5" max="5" width="8" style="53" customWidth="1"/>
    <col min="6" max="6" width="9.140625" style="53" bestFit="1" customWidth="1"/>
    <col min="7" max="7" width="8" style="3" customWidth="1"/>
    <col min="8" max="8" width="13.5703125" style="3" customWidth="1"/>
    <col min="9" max="9" width="14" style="3" customWidth="1"/>
    <col min="10" max="10" width="12.85546875" style="53" customWidth="1"/>
    <col min="11" max="11" width="11.5703125" style="53" customWidth="1"/>
    <col min="12" max="12" width="14.5703125" style="54" customWidth="1"/>
    <col min="13" max="13" width="13.7109375" style="54" customWidth="1"/>
    <col min="14" max="14" width="12.85546875" style="3" customWidth="1"/>
    <col min="15" max="15" width="11.28515625" style="3" customWidth="1"/>
    <col min="16" max="16" width="13.7109375" style="1" customWidth="1"/>
    <col min="17" max="17" width="11.28515625" style="1" customWidth="1"/>
    <col min="18" max="18" width="12.85546875" style="3" customWidth="1"/>
    <col min="19" max="19" width="11.28515625" style="1" customWidth="1"/>
    <col min="20" max="20" width="12.85546875" style="1" customWidth="1"/>
    <col min="21" max="23" width="11.28515625" style="1" customWidth="1"/>
    <col min="24" max="16384" width="8" style="1"/>
  </cols>
  <sheetData>
    <row r="1" spans="1:255" ht="43.5" customHeight="1" x14ac:dyDescent="0.25">
      <c r="B1" s="96" t="s">
        <v>231</v>
      </c>
      <c r="C1" s="97"/>
      <c r="D1" s="97"/>
      <c r="E1" s="97"/>
      <c r="F1" s="2"/>
      <c r="G1" s="66" t="s">
        <v>232</v>
      </c>
      <c r="H1" s="66"/>
      <c r="I1" s="67"/>
      <c r="J1" s="68"/>
      <c r="K1" s="69"/>
      <c r="L1" s="70"/>
    </row>
    <row r="2" spans="1:255" ht="27.75" customHeight="1" x14ac:dyDescent="0.25">
      <c r="B2" s="99" t="s">
        <v>2</v>
      </c>
      <c r="C2" s="100"/>
      <c r="D2" s="100"/>
      <c r="E2" s="100"/>
      <c r="F2" s="4"/>
      <c r="G2" s="110" t="s">
        <v>3</v>
      </c>
      <c r="H2" s="110"/>
      <c r="I2" s="110"/>
      <c r="J2" s="110"/>
      <c r="K2" s="110"/>
      <c r="L2" s="110"/>
      <c r="M2" s="110"/>
    </row>
    <row r="3" spans="1:255" ht="12.75" customHeight="1" x14ac:dyDescent="0.25">
      <c r="B3" s="100"/>
      <c r="C3" s="100"/>
      <c r="D3" s="100"/>
      <c r="E3" s="100"/>
      <c r="F3" s="4"/>
      <c r="G3" s="102" t="s">
        <v>4</v>
      </c>
      <c r="H3" s="103" t="s">
        <v>5</v>
      </c>
      <c r="I3" s="104" t="s">
        <v>6</v>
      </c>
      <c r="J3" s="105" t="s">
        <v>7</v>
      </c>
      <c r="K3" s="106" t="s">
        <v>8</v>
      </c>
      <c r="L3" s="107" t="s">
        <v>9</v>
      </c>
      <c r="M3" s="94" t="s">
        <v>10</v>
      </c>
    </row>
    <row r="4" spans="1:255" ht="24" customHeight="1" x14ac:dyDescent="0.25">
      <c r="B4" s="100"/>
      <c r="C4" s="100"/>
      <c r="D4" s="100"/>
      <c r="E4" s="100"/>
      <c r="F4" s="4"/>
      <c r="G4" s="102"/>
      <c r="H4" s="103"/>
      <c r="I4" s="104"/>
      <c r="J4" s="105"/>
      <c r="K4" s="106"/>
      <c r="L4" s="107"/>
      <c r="M4" s="94"/>
    </row>
    <row r="5" spans="1:255" s="5" customFormat="1" ht="19.5" customHeight="1" x14ac:dyDescent="0.25">
      <c r="B5" s="100"/>
      <c r="C5" s="100"/>
      <c r="D5" s="100"/>
      <c r="E5" s="100"/>
      <c r="F5" s="4"/>
      <c r="G5" s="6"/>
      <c r="H5" s="7"/>
      <c r="I5" s="7"/>
      <c r="J5" s="8"/>
      <c r="K5" s="8"/>
      <c r="L5" s="9"/>
      <c r="M5" s="9"/>
      <c r="N5" s="7"/>
      <c r="O5" s="7"/>
      <c r="R5" s="7"/>
    </row>
    <row r="6" spans="1:255" s="5" customFormat="1" ht="46.5" customHeight="1" x14ac:dyDescent="0.25">
      <c r="B6" s="10"/>
      <c r="C6" s="10"/>
      <c r="D6" s="11" t="s">
        <v>233</v>
      </c>
      <c r="E6" s="12"/>
      <c r="F6" s="11"/>
      <c r="G6" s="13"/>
      <c r="H6" s="92" t="s">
        <v>12</v>
      </c>
      <c r="I6" s="93"/>
      <c r="J6" s="92" t="s">
        <v>12</v>
      </c>
      <c r="K6" s="95"/>
      <c r="L6" s="92" t="s">
        <v>13</v>
      </c>
      <c r="M6" s="93"/>
      <c r="N6" s="92" t="s">
        <v>14</v>
      </c>
      <c r="O6" s="93"/>
      <c r="P6" s="92" t="s">
        <v>15</v>
      </c>
      <c r="Q6" s="93"/>
      <c r="R6" s="92" t="s">
        <v>16</v>
      </c>
      <c r="S6" s="93"/>
      <c r="T6" s="92" t="s">
        <v>17</v>
      </c>
      <c r="U6" s="93"/>
      <c r="V6" s="92" t="s">
        <v>18</v>
      </c>
      <c r="W6" s="93"/>
    </row>
    <row r="7" spans="1:255" s="5" customFormat="1" x14ac:dyDescent="0.25">
      <c r="A7" s="14" t="s">
        <v>19</v>
      </c>
      <c r="B7" s="14" t="s">
        <v>20</v>
      </c>
      <c r="C7" s="15" t="s">
        <v>21</v>
      </c>
      <c r="D7" s="16"/>
      <c r="E7" s="17"/>
      <c r="F7" s="17" t="s">
        <v>22</v>
      </c>
      <c r="G7" s="18" t="s">
        <v>23</v>
      </c>
      <c r="H7" s="19">
        <v>43197</v>
      </c>
      <c r="I7" s="20" t="s">
        <v>234</v>
      </c>
      <c r="J7" s="19">
        <v>43204</v>
      </c>
      <c r="K7" s="20" t="s">
        <v>114</v>
      </c>
      <c r="L7" s="19">
        <v>43232</v>
      </c>
      <c r="M7" s="20" t="s">
        <v>235</v>
      </c>
      <c r="N7" s="19">
        <v>43260</v>
      </c>
      <c r="O7" s="20" t="s">
        <v>27</v>
      </c>
      <c r="P7" s="19">
        <v>43296</v>
      </c>
      <c r="Q7" s="20" t="s">
        <v>235</v>
      </c>
      <c r="R7" s="19">
        <v>43358</v>
      </c>
      <c r="S7" s="20" t="s">
        <v>29</v>
      </c>
      <c r="T7" s="19">
        <v>43372</v>
      </c>
      <c r="U7" s="20" t="s">
        <v>236</v>
      </c>
      <c r="V7" s="19">
        <v>43380</v>
      </c>
      <c r="W7" s="20" t="s">
        <v>115</v>
      </c>
    </row>
    <row r="8" spans="1:255" s="27" customFormat="1" x14ac:dyDescent="0.25">
      <c r="A8" s="21" t="s">
        <v>30</v>
      </c>
      <c r="B8" s="21" t="s">
        <v>31</v>
      </c>
      <c r="C8" s="22" t="s">
        <v>32</v>
      </c>
      <c r="D8" s="23" t="s">
        <v>33</v>
      </c>
      <c r="E8" s="25" t="s">
        <v>34</v>
      </c>
      <c r="F8" s="25" t="s">
        <v>35</v>
      </c>
      <c r="G8" s="25" t="s">
        <v>36</v>
      </c>
      <c r="H8" s="26" t="s">
        <v>31</v>
      </c>
      <c r="I8" s="26" t="s">
        <v>37</v>
      </c>
      <c r="J8" s="26" t="s">
        <v>31</v>
      </c>
      <c r="K8" s="26" t="s">
        <v>37</v>
      </c>
      <c r="L8" s="26" t="s">
        <v>31</v>
      </c>
      <c r="M8" s="26" t="s">
        <v>37</v>
      </c>
      <c r="N8" s="26" t="s">
        <v>31</v>
      </c>
      <c r="O8" s="26" t="s">
        <v>37</v>
      </c>
      <c r="P8" s="26" t="s">
        <v>31</v>
      </c>
      <c r="Q8" s="26" t="s">
        <v>37</v>
      </c>
      <c r="R8" s="26" t="s">
        <v>31</v>
      </c>
      <c r="S8" s="26" t="s">
        <v>37</v>
      </c>
      <c r="T8" s="26" t="s">
        <v>31</v>
      </c>
      <c r="U8" s="26" t="s">
        <v>37</v>
      </c>
      <c r="V8" s="26" t="s">
        <v>31</v>
      </c>
      <c r="W8" s="26" t="s">
        <v>37</v>
      </c>
      <c r="X8" s="27" t="s">
        <v>237</v>
      </c>
    </row>
    <row r="9" spans="1:255" s="27" customFormat="1" ht="19.5" customHeight="1" x14ac:dyDescent="0.25">
      <c r="A9" s="28" t="s">
        <v>38</v>
      </c>
      <c r="B9" s="32">
        <v>1</v>
      </c>
      <c r="C9" s="30" t="s">
        <v>238</v>
      </c>
      <c r="D9" s="30" t="s">
        <v>239</v>
      </c>
      <c r="E9" s="71" t="s">
        <v>240</v>
      </c>
      <c r="F9" s="40" t="s">
        <v>65</v>
      </c>
      <c r="G9" s="33">
        <f>I9+K9+M9+O9+Q9+S9+U9+W9-W9</f>
        <v>150</v>
      </c>
      <c r="H9" s="40">
        <v>6</v>
      </c>
      <c r="I9" s="40">
        <f>10+(26-H9)</f>
        <v>30</v>
      </c>
      <c r="J9" s="34">
        <v>2</v>
      </c>
      <c r="K9" s="40">
        <f>18+(20-J9)</f>
        <v>36</v>
      </c>
      <c r="L9" s="34">
        <v>3</v>
      </c>
      <c r="M9" s="40">
        <f>16+(25-L9)</f>
        <v>38</v>
      </c>
      <c r="N9" s="47"/>
      <c r="O9" s="47"/>
      <c r="P9" s="40">
        <v>20</v>
      </c>
      <c r="Q9" s="40">
        <f>(25-P9)</f>
        <v>5</v>
      </c>
      <c r="R9" s="72"/>
      <c r="S9" s="73"/>
      <c r="T9" s="34">
        <v>1</v>
      </c>
      <c r="U9" s="40">
        <f>20+(22-T9)</f>
        <v>41</v>
      </c>
      <c r="V9" s="40">
        <v>20</v>
      </c>
      <c r="W9" s="74">
        <f>(24-V9)</f>
        <v>4</v>
      </c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R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C9" s="38"/>
      <c r="ED9" s="38"/>
      <c r="EE9" s="38"/>
      <c r="EF9" s="38"/>
      <c r="EG9" s="38"/>
      <c r="EH9" s="38"/>
      <c r="EI9" s="38"/>
      <c r="EJ9" s="38"/>
      <c r="EK9" s="38"/>
      <c r="EL9" s="38"/>
      <c r="EM9" s="38"/>
      <c r="EN9" s="38"/>
      <c r="EO9" s="38"/>
      <c r="EP9" s="38"/>
      <c r="EQ9" s="38"/>
      <c r="ER9" s="38"/>
      <c r="ES9" s="38"/>
      <c r="ET9" s="38"/>
      <c r="EU9" s="38"/>
      <c r="EV9" s="38"/>
      <c r="EW9" s="38"/>
      <c r="EX9" s="38"/>
      <c r="EY9" s="38"/>
      <c r="EZ9" s="38"/>
      <c r="FA9" s="38"/>
      <c r="FB9" s="38"/>
      <c r="FC9" s="38"/>
      <c r="FD9" s="38"/>
      <c r="FE9" s="38"/>
      <c r="FF9" s="38"/>
      <c r="FG9" s="38"/>
      <c r="FH9" s="38"/>
      <c r="FI9" s="38"/>
      <c r="FJ9" s="38"/>
      <c r="FK9" s="38"/>
      <c r="FL9" s="38"/>
      <c r="FM9" s="38"/>
      <c r="FN9" s="38"/>
      <c r="FO9" s="38"/>
      <c r="FP9" s="38"/>
      <c r="FQ9" s="38"/>
      <c r="FR9" s="38"/>
      <c r="FS9" s="38"/>
      <c r="FT9" s="38"/>
      <c r="FU9" s="38"/>
      <c r="FV9" s="38"/>
      <c r="FW9" s="38"/>
      <c r="FX9" s="38"/>
      <c r="FY9" s="38"/>
      <c r="FZ9" s="38"/>
      <c r="GA9" s="38"/>
      <c r="GB9" s="38"/>
      <c r="GC9" s="38"/>
      <c r="GD9" s="38"/>
      <c r="GE9" s="38"/>
      <c r="GF9" s="38"/>
      <c r="GG9" s="38"/>
      <c r="GH9" s="38"/>
      <c r="GI9" s="38"/>
      <c r="GJ9" s="38"/>
      <c r="GK9" s="38"/>
      <c r="GL9" s="38"/>
      <c r="GM9" s="38"/>
      <c r="GN9" s="38"/>
      <c r="GO9" s="38"/>
      <c r="GP9" s="38"/>
      <c r="GQ9" s="38"/>
      <c r="GR9" s="38"/>
      <c r="GS9" s="38"/>
      <c r="GT9" s="38"/>
      <c r="GU9" s="38"/>
      <c r="GV9" s="38"/>
      <c r="GW9" s="38"/>
      <c r="GX9" s="38"/>
      <c r="GY9" s="38"/>
      <c r="GZ9" s="38"/>
      <c r="HA9" s="38"/>
      <c r="HB9" s="38"/>
      <c r="HC9" s="38"/>
      <c r="HD9" s="38"/>
      <c r="HE9" s="38"/>
      <c r="HF9" s="38"/>
      <c r="HG9" s="38"/>
      <c r="HH9" s="38"/>
      <c r="HI9" s="38"/>
      <c r="HJ9" s="38"/>
      <c r="HK9" s="38"/>
      <c r="HL9" s="38"/>
      <c r="HM9" s="38"/>
      <c r="HN9" s="38"/>
      <c r="HO9" s="38"/>
      <c r="HP9" s="38"/>
      <c r="HQ9" s="38"/>
      <c r="HR9" s="38"/>
      <c r="HS9" s="38"/>
      <c r="HT9" s="38"/>
      <c r="HU9" s="38"/>
      <c r="HV9" s="38"/>
      <c r="HW9" s="38"/>
      <c r="HX9" s="38"/>
      <c r="HY9" s="38"/>
      <c r="HZ9" s="38"/>
      <c r="IA9" s="38"/>
      <c r="IB9" s="38"/>
      <c r="IC9" s="38"/>
      <c r="ID9" s="38"/>
      <c r="IE9" s="38"/>
      <c r="IF9" s="38"/>
      <c r="IG9" s="38"/>
      <c r="IH9" s="38"/>
      <c r="II9" s="38"/>
      <c r="IJ9" s="38"/>
      <c r="IK9" s="38"/>
      <c r="IL9" s="38"/>
      <c r="IM9" s="38"/>
      <c r="IN9" s="38"/>
      <c r="IO9" s="38"/>
      <c r="IP9" s="38"/>
      <c r="IQ9" s="38"/>
    </row>
    <row r="10" spans="1:255" s="38" customFormat="1" ht="17.25" customHeight="1" x14ac:dyDescent="0.25">
      <c r="A10" s="28" t="s">
        <v>43</v>
      </c>
      <c r="B10" s="32">
        <v>2</v>
      </c>
      <c r="C10" s="30" t="s">
        <v>241</v>
      </c>
      <c r="D10" s="30" t="s">
        <v>242</v>
      </c>
      <c r="E10" s="75" t="s">
        <v>240</v>
      </c>
      <c r="F10" s="40" t="s">
        <v>243</v>
      </c>
      <c r="G10" s="33">
        <f>I10+K10+M10+O10+Q10+S10+U10+W10-M10</f>
        <v>136</v>
      </c>
      <c r="H10" s="34">
        <v>4</v>
      </c>
      <c r="I10" s="40">
        <f>14+(26-H10)</f>
        <v>36</v>
      </c>
      <c r="J10" s="40">
        <v>9</v>
      </c>
      <c r="K10" s="40">
        <f>4+(20-J10)</f>
        <v>15</v>
      </c>
      <c r="L10" s="40">
        <v>20</v>
      </c>
      <c r="M10" s="74">
        <f>(25-L10)</f>
        <v>5</v>
      </c>
      <c r="N10" s="47"/>
      <c r="O10" s="47"/>
      <c r="P10" s="40">
        <v>12</v>
      </c>
      <c r="Q10" s="40">
        <f>(25-P10)</f>
        <v>13</v>
      </c>
      <c r="R10" s="47"/>
      <c r="S10" s="47"/>
      <c r="T10" s="34">
        <v>3</v>
      </c>
      <c r="U10" s="40">
        <f>16+(22-T10)</f>
        <v>35</v>
      </c>
      <c r="V10" s="34">
        <v>3</v>
      </c>
      <c r="W10" s="40">
        <f>16+(24-V10)</f>
        <v>37</v>
      </c>
    </row>
    <row r="11" spans="1:255" s="38" customFormat="1" ht="18.75" customHeight="1" x14ac:dyDescent="0.25">
      <c r="A11" s="28" t="s">
        <v>47</v>
      </c>
      <c r="B11" s="32">
        <v>3</v>
      </c>
      <c r="C11" s="30" t="s">
        <v>244</v>
      </c>
      <c r="D11" s="30" t="s">
        <v>245</v>
      </c>
      <c r="E11" s="76" t="s">
        <v>240</v>
      </c>
      <c r="F11" s="40" t="s">
        <v>246</v>
      </c>
      <c r="G11" s="33">
        <f>I11+K11+M11+O11+Q11+S11+U11+W11-U11</f>
        <v>125</v>
      </c>
      <c r="H11" s="34">
        <v>3</v>
      </c>
      <c r="I11" s="40">
        <f>16+(26-H11)</f>
        <v>39</v>
      </c>
      <c r="J11" s="40">
        <v>10</v>
      </c>
      <c r="K11" s="40">
        <f>2+(20-J11)</f>
        <v>12</v>
      </c>
      <c r="L11" s="40">
        <v>14</v>
      </c>
      <c r="M11" s="40">
        <f>(25-L11)</f>
        <v>11</v>
      </c>
      <c r="N11" s="47"/>
      <c r="O11" s="47"/>
      <c r="P11" s="43">
        <v>6</v>
      </c>
      <c r="Q11" s="40">
        <f>10+(25-P11)</f>
        <v>29</v>
      </c>
      <c r="R11" s="47"/>
      <c r="S11" s="35"/>
      <c r="T11" s="40">
        <v>13</v>
      </c>
      <c r="U11" s="74">
        <f>(22-T11)</f>
        <v>9</v>
      </c>
      <c r="V11" s="34">
        <v>4</v>
      </c>
      <c r="W11" s="40">
        <f>14+(24-V11)</f>
        <v>34</v>
      </c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</row>
    <row r="12" spans="1:255" s="38" customFormat="1" ht="15.75" customHeight="1" x14ac:dyDescent="0.25">
      <c r="A12" s="28" t="s">
        <v>50</v>
      </c>
      <c r="B12" s="32">
        <v>4</v>
      </c>
      <c r="C12" s="30" t="s">
        <v>247</v>
      </c>
      <c r="D12" s="30" t="s">
        <v>248</v>
      </c>
      <c r="E12" s="75" t="s">
        <v>240</v>
      </c>
      <c r="F12" s="40" t="s">
        <v>246</v>
      </c>
      <c r="G12" s="33">
        <f t="shared" ref="G12:G26" si="0">I12+K12+M12+O12+Q12+S12+U12+W12</f>
        <v>104</v>
      </c>
      <c r="H12" s="47"/>
      <c r="I12" s="47"/>
      <c r="J12" s="47"/>
      <c r="K12" s="47"/>
      <c r="L12" s="34">
        <v>1</v>
      </c>
      <c r="M12" s="40">
        <f>20+(25-L12)</f>
        <v>44</v>
      </c>
      <c r="N12" s="47"/>
      <c r="O12" s="47"/>
      <c r="P12" s="34">
        <v>1</v>
      </c>
      <c r="Q12" s="40">
        <f>20+(25-P12)</f>
        <v>44</v>
      </c>
      <c r="R12" s="47"/>
      <c r="S12" s="35"/>
      <c r="T12" s="47"/>
      <c r="U12" s="47"/>
      <c r="V12" s="40">
        <v>10</v>
      </c>
      <c r="W12" s="40">
        <f>2+(24-V12)</f>
        <v>16</v>
      </c>
      <c r="IR12" s="1"/>
      <c r="IS12" s="1"/>
      <c r="IT12" s="1"/>
      <c r="IU12" s="1"/>
    </row>
    <row r="13" spans="1:255" s="38" customFormat="1" ht="19.5" customHeight="1" x14ac:dyDescent="0.25">
      <c r="A13" s="28" t="s">
        <v>53</v>
      </c>
      <c r="B13" s="32">
        <v>5</v>
      </c>
      <c r="C13" s="30" t="s">
        <v>251</v>
      </c>
      <c r="D13" s="30" t="s">
        <v>252</v>
      </c>
      <c r="E13" s="75" t="s">
        <v>240</v>
      </c>
      <c r="F13" s="40" t="s">
        <v>246</v>
      </c>
      <c r="G13" s="33">
        <f>I13+K13+M13+O13+Q13+S13+U13+W13</f>
        <v>93</v>
      </c>
      <c r="H13" s="34">
        <v>1</v>
      </c>
      <c r="I13" s="40">
        <f>20+(26-H13)</f>
        <v>45</v>
      </c>
      <c r="J13" s="47"/>
      <c r="K13" s="47"/>
      <c r="L13" s="40">
        <v>8</v>
      </c>
      <c r="M13" s="40">
        <f>6+(25-L13)</f>
        <v>23</v>
      </c>
      <c r="N13" s="47"/>
      <c r="O13" s="47"/>
      <c r="P13" s="40">
        <v>12</v>
      </c>
      <c r="Q13" s="40">
        <f>(25-P13)</f>
        <v>13</v>
      </c>
      <c r="R13" s="47"/>
      <c r="S13" s="47"/>
      <c r="T13" s="47"/>
      <c r="U13" s="47"/>
      <c r="V13" s="40">
        <v>12</v>
      </c>
      <c r="W13" s="40">
        <f>(24-V13)</f>
        <v>12</v>
      </c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</row>
    <row r="14" spans="1:255" s="38" customFormat="1" ht="15.75" customHeight="1" x14ac:dyDescent="0.25">
      <c r="A14" s="28" t="s">
        <v>56</v>
      </c>
      <c r="B14" s="32">
        <v>6</v>
      </c>
      <c r="C14" s="30" t="s">
        <v>249</v>
      </c>
      <c r="D14" s="30" t="s">
        <v>250</v>
      </c>
      <c r="E14" s="77" t="s">
        <v>240</v>
      </c>
      <c r="F14" s="40" t="s">
        <v>246</v>
      </c>
      <c r="G14" s="33">
        <f t="shared" si="0"/>
        <v>92</v>
      </c>
      <c r="H14" s="47"/>
      <c r="I14" s="47"/>
      <c r="J14" s="47"/>
      <c r="K14" s="47"/>
      <c r="L14" s="43">
        <v>2</v>
      </c>
      <c r="M14" s="40">
        <f>18+(25-L14)</f>
        <v>41</v>
      </c>
      <c r="N14" s="47"/>
      <c r="O14" s="47"/>
      <c r="P14" s="34">
        <v>5</v>
      </c>
      <c r="Q14" s="40">
        <f>12+(25-P14)</f>
        <v>32</v>
      </c>
      <c r="R14" s="47"/>
      <c r="S14" s="35"/>
      <c r="T14" s="47"/>
      <c r="U14" s="47"/>
      <c r="V14" s="40">
        <v>9</v>
      </c>
      <c r="W14" s="40">
        <f>4+(24-V14)</f>
        <v>19</v>
      </c>
      <c r="IR14" s="1"/>
      <c r="IS14" s="1"/>
      <c r="IT14" s="1"/>
      <c r="IU14" s="1"/>
    </row>
    <row r="15" spans="1:255" s="38" customFormat="1" ht="18.75" customHeight="1" x14ac:dyDescent="0.25">
      <c r="A15" s="28" t="s">
        <v>73</v>
      </c>
      <c r="B15" s="32">
        <v>7</v>
      </c>
      <c r="C15" s="30" t="s">
        <v>253</v>
      </c>
      <c r="D15" s="30" t="s">
        <v>254</v>
      </c>
      <c r="E15" s="75" t="s">
        <v>240</v>
      </c>
      <c r="F15" s="40" t="s">
        <v>65</v>
      </c>
      <c r="G15" s="33">
        <f t="shared" si="0"/>
        <v>89</v>
      </c>
      <c r="H15" s="40">
        <v>9</v>
      </c>
      <c r="I15" s="40">
        <f>4+(26-H15)</f>
        <v>21</v>
      </c>
      <c r="J15" s="34">
        <v>4</v>
      </c>
      <c r="K15" s="40">
        <f>14+(20-J15)</f>
        <v>30</v>
      </c>
      <c r="L15" s="47"/>
      <c r="M15" s="47"/>
      <c r="N15" s="47"/>
      <c r="O15" s="47"/>
      <c r="P15" s="47"/>
      <c r="Q15" s="47"/>
      <c r="R15" s="40" t="s">
        <v>69</v>
      </c>
      <c r="S15" s="28">
        <v>0</v>
      </c>
      <c r="T15" s="34">
        <v>2</v>
      </c>
      <c r="U15" s="40">
        <f>18+(22-T15)</f>
        <v>38</v>
      </c>
      <c r="V15" s="47"/>
      <c r="W15" s="47"/>
    </row>
    <row r="16" spans="1:255" s="38" customFormat="1" ht="18.75" customHeight="1" x14ac:dyDescent="0.25">
      <c r="A16" s="28" t="s">
        <v>59</v>
      </c>
      <c r="B16" s="32">
        <v>8</v>
      </c>
      <c r="C16" s="30" t="s">
        <v>255</v>
      </c>
      <c r="D16" s="30" t="s">
        <v>256</v>
      </c>
      <c r="E16" s="77" t="s">
        <v>240</v>
      </c>
      <c r="F16" s="40" t="s">
        <v>246</v>
      </c>
      <c r="G16" s="33">
        <f t="shared" si="0"/>
        <v>88</v>
      </c>
      <c r="H16" s="47"/>
      <c r="I16" s="47"/>
      <c r="J16" s="34">
        <v>1</v>
      </c>
      <c r="K16" s="40">
        <f>20+(20-J16)</f>
        <v>39</v>
      </c>
      <c r="L16" s="40">
        <v>8</v>
      </c>
      <c r="M16" s="40">
        <f>6+(25-L16)</f>
        <v>23</v>
      </c>
      <c r="N16" s="47"/>
      <c r="O16" s="47"/>
      <c r="P16" s="47"/>
      <c r="Q16" s="47"/>
      <c r="R16" s="47"/>
      <c r="S16" s="35"/>
      <c r="T16" s="43">
        <v>6</v>
      </c>
      <c r="U16" s="40">
        <f>10+(22-T16)</f>
        <v>26</v>
      </c>
      <c r="V16" s="47"/>
      <c r="W16" s="47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</row>
    <row r="17" spans="1:255" s="38" customFormat="1" ht="18" customHeight="1" x14ac:dyDescent="0.25">
      <c r="A17" s="28" t="s">
        <v>62</v>
      </c>
      <c r="B17" s="32">
        <v>9</v>
      </c>
      <c r="C17" s="30" t="s">
        <v>257</v>
      </c>
      <c r="D17" s="30" t="s">
        <v>258</v>
      </c>
      <c r="E17" s="77" t="s">
        <v>240</v>
      </c>
      <c r="F17" s="40" t="s">
        <v>246</v>
      </c>
      <c r="G17" s="33">
        <f t="shared" si="0"/>
        <v>86</v>
      </c>
      <c r="H17" s="43">
        <v>2</v>
      </c>
      <c r="I17" s="40">
        <f>18+(26-H17)</f>
        <v>42</v>
      </c>
      <c r="J17" s="40">
        <v>11</v>
      </c>
      <c r="K17" s="40">
        <f>(20-J17)</f>
        <v>9</v>
      </c>
      <c r="L17" s="34">
        <v>4</v>
      </c>
      <c r="M17" s="40">
        <f>14+(25-L17)</f>
        <v>35</v>
      </c>
      <c r="N17" s="47"/>
      <c r="O17" s="47"/>
      <c r="P17" s="47"/>
      <c r="Q17" s="47"/>
      <c r="R17" s="47"/>
      <c r="S17" s="35"/>
      <c r="T17" s="47"/>
      <c r="U17" s="47"/>
      <c r="V17" s="47"/>
      <c r="W17" s="47"/>
    </row>
    <row r="18" spans="1:255" s="38" customFormat="1" ht="18.75" customHeight="1" x14ac:dyDescent="0.25">
      <c r="A18" s="28" t="s">
        <v>66</v>
      </c>
      <c r="B18" s="32">
        <v>10</v>
      </c>
      <c r="C18" s="30" t="s">
        <v>259</v>
      </c>
      <c r="D18" s="30" t="s">
        <v>260</v>
      </c>
      <c r="E18" s="78" t="s">
        <v>240</v>
      </c>
      <c r="F18" s="79" t="s">
        <v>246</v>
      </c>
      <c r="G18" s="33">
        <f t="shared" si="0"/>
        <v>82</v>
      </c>
      <c r="H18" s="47"/>
      <c r="I18" s="47"/>
      <c r="J18" s="47"/>
      <c r="K18" s="47"/>
      <c r="L18" s="34">
        <v>5</v>
      </c>
      <c r="M18" s="40">
        <f>12+(25-L18)</f>
        <v>32</v>
      </c>
      <c r="N18" s="47"/>
      <c r="O18" s="47"/>
      <c r="P18" s="40">
        <v>14</v>
      </c>
      <c r="Q18" s="40">
        <f>(25-P18)</f>
        <v>11</v>
      </c>
      <c r="R18" s="47"/>
      <c r="S18" s="47"/>
      <c r="T18" s="40">
        <v>10</v>
      </c>
      <c r="U18" s="40">
        <f>2+(22-T18)</f>
        <v>14</v>
      </c>
      <c r="V18" s="40">
        <v>7</v>
      </c>
      <c r="W18" s="40">
        <f>8+(24-V18)</f>
        <v>25</v>
      </c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  <c r="GF18" s="27"/>
      <c r="GG18" s="27"/>
      <c r="GH18" s="27"/>
      <c r="GI18" s="27"/>
      <c r="GJ18" s="27"/>
      <c r="GK18" s="27"/>
      <c r="GL18" s="27"/>
      <c r="GM18" s="27"/>
      <c r="GN18" s="27"/>
      <c r="GO18" s="27"/>
      <c r="GP18" s="27"/>
      <c r="GQ18" s="27"/>
      <c r="GR18" s="27"/>
      <c r="GS18" s="27"/>
      <c r="GT18" s="27"/>
      <c r="GU18" s="27"/>
      <c r="GV18" s="27"/>
      <c r="GW18" s="27"/>
      <c r="GX18" s="27"/>
      <c r="GY18" s="27"/>
      <c r="GZ18" s="27"/>
      <c r="HA18" s="27"/>
      <c r="HB18" s="27"/>
      <c r="HC18" s="27"/>
      <c r="HD18" s="27"/>
      <c r="HE18" s="27"/>
      <c r="HF18" s="27"/>
      <c r="HG18" s="27"/>
      <c r="HH18" s="27"/>
      <c r="HI18" s="27"/>
      <c r="HJ18" s="27"/>
      <c r="HK18" s="27"/>
      <c r="HL18" s="27"/>
      <c r="HM18" s="27"/>
      <c r="HN18" s="27"/>
      <c r="HO18" s="27"/>
      <c r="HP18" s="27"/>
      <c r="HQ18" s="27"/>
      <c r="HR18" s="27"/>
      <c r="HS18" s="27"/>
      <c r="HT18" s="27"/>
      <c r="HU18" s="27"/>
      <c r="HV18" s="27"/>
      <c r="HW18" s="27"/>
      <c r="HX18" s="27"/>
      <c r="HY18" s="27"/>
      <c r="HZ18" s="27"/>
      <c r="IA18" s="27"/>
      <c r="IB18" s="27"/>
      <c r="IC18" s="27"/>
      <c r="ID18" s="27"/>
      <c r="IE18" s="27"/>
      <c r="IF18" s="27"/>
      <c r="IG18" s="27"/>
      <c r="IH18" s="27"/>
      <c r="II18" s="27"/>
      <c r="IJ18" s="27"/>
      <c r="IK18" s="27"/>
      <c r="IL18" s="27"/>
      <c r="IM18" s="27"/>
      <c r="IN18" s="27"/>
      <c r="IO18" s="27"/>
      <c r="IP18" s="27"/>
      <c r="IQ18" s="27"/>
    </row>
    <row r="19" spans="1:255" s="38" customFormat="1" ht="18.75" customHeight="1" x14ac:dyDescent="0.25">
      <c r="A19" s="28" t="s">
        <v>70</v>
      </c>
      <c r="B19" s="32">
        <v>11</v>
      </c>
      <c r="C19" s="30" t="s">
        <v>261</v>
      </c>
      <c r="D19" s="30" t="s">
        <v>262</v>
      </c>
      <c r="E19" s="71" t="s">
        <v>240</v>
      </c>
      <c r="F19" s="40" t="s">
        <v>65</v>
      </c>
      <c r="G19" s="33">
        <f t="shared" si="0"/>
        <v>81</v>
      </c>
      <c r="H19" s="47"/>
      <c r="I19" s="47"/>
      <c r="J19" s="47"/>
      <c r="K19" s="47"/>
      <c r="L19" s="47"/>
      <c r="M19" s="47"/>
      <c r="N19" s="47"/>
      <c r="O19" s="47"/>
      <c r="P19" s="40">
        <v>16</v>
      </c>
      <c r="Q19" s="40">
        <f>(25-P19)</f>
        <v>9</v>
      </c>
      <c r="R19" s="47"/>
      <c r="S19" s="35"/>
      <c r="T19" s="34">
        <v>5</v>
      </c>
      <c r="U19" s="40">
        <f>12+(22-T19)</f>
        <v>29</v>
      </c>
      <c r="V19" s="80">
        <v>1</v>
      </c>
      <c r="W19" s="40">
        <f>20+(24-V19)</f>
        <v>43</v>
      </c>
      <c r="IR19" s="1"/>
      <c r="IS19" s="1"/>
      <c r="IT19" s="1"/>
      <c r="IU19" s="1"/>
    </row>
    <row r="20" spans="1:255" ht="20.25" customHeight="1" x14ac:dyDescent="0.25">
      <c r="A20" s="28" t="s">
        <v>76</v>
      </c>
      <c r="B20" s="32">
        <v>12</v>
      </c>
      <c r="C20" s="30" t="s">
        <v>263</v>
      </c>
      <c r="D20" s="30" t="s">
        <v>264</v>
      </c>
      <c r="E20" s="77" t="s">
        <v>240</v>
      </c>
      <c r="F20" s="40" t="s">
        <v>265</v>
      </c>
      <c r="G20" s="33">
        <f t="shared" si="0"/>
        <v>79</v>
      </c>
      <c r="H20" s="47"/>
      <c r="I20" s="47"/>
      <c r="J20" s="47"/>
      <c r="K20" s="47"/>
      <c r="L20" s="47"/>
      <c r="M20" s="47"/>
      <c r="N20" s="43">
        <v>1</v>
      </c>
      <c r="O20" s="40">
        <f>20+(15-N20)</f>
        <v>34</v>
      </c>
      <c r="P20" s="34">
        <v>7</v>
      </c>
      <c r="Q20" s="40">
        <f>8+(25-P20)</f>
        <v>26</v>
      </c>
      <c r="R20" s="40">
        <v>4</v>
      </c>
      <c r="S20" s="28">
        <f>14+(9-R20)</f>
        <v>19</v>
      </c>
      <c r="T20" s="47"/>
      <c r="U20" s="47"/>
      <c r="V20" s="47"/>
      <c r="W20" s="47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  <c r="DD20" s="38"/>
      <c r="DE20" s="38"/>
      <c r="DF20" s="38"/>
      <c r="DG20" s="38"/>
      <c r="DH20" s="38"/>
      <c r="DI20" s="38"/>
      <c r="DJ20" s="38"/>
      <c r="DK20" s="38"/>
      <c r="DL20" s="38"/>
      <c r="DM20" s="38"/>
      <c r="DN20" s="38"/>
      <c r="DO20" s="38"/>
      <c r="DP20" s="38"/>
      <c r="DQ20" s="38"/>
      <c r="DR20" s="38"/>
      <c r="DS20" s="38"/>
      <c r="DT20" s="38"/>
      <c r="DU20" s="38"/>
      <c r="DV20" s="38"/>
      <c r="DW20" s="38"/>
      <c r="DX20" s="38"/>
      <c r="DY20" s="38"/>
      <c r="DZ20" s="38"/>
      <c r="EA20" s="38"/>
      <c r="EB20" s="38"/>
      <c r="EC20" s="38"/>
      <c r="ED20" s="38"/>
      <c r="EE20" s="38"/>
      <c r="EF20" s="38"/>
      <c r="EG20" s="38"/>
      <c r="EH20" s="38"/>
      <c r="EI20" s="38"/>
      <c r="EJ20" s="38"/>
      <c r="EK20" s="38"/>
      <c r="EL20" s="38"/>
      <c r="EM20" s="38"/>
      <c r="EN20" s="38"/>
      <c r="EO20" s="38"/>
      <c r="EP20" s="38"/>
      <c r="EQ20" s="38"/>
      <c r="ER20" s="38"/>
      <c r="ES20" s="38"/>
      <c r="ET20" s="38"/>
      <c r="EU20" s="38"/>
      <c r="EV20" s="38"/>
      <c r="EW20" s="38"/>
      <c r="EX20" s="38"/>
      <c r="EY20" s="38"/>
      <c r="EZ20" s="38"/>
      <c r="FA20" s="38"/>
      <c r="FB20" s="38"/>
      <c r="FC20" s="38"/>
      <c r="FD20" s="38"/>
      <c r="FE20" s="38"/>
      <c r="FF20" s="38"/>
      <c r="FG20" s="38"/>
      <c r="FH20" s="38"/>
      <c r="FI20" s="38"/>
      <c r="FJ20" s="38"/>
      <c r="FK20" s="38"/>
      <c r="FL20" s="38"/>
      <c r="FM20" s="38"/>
      <c r="FN20" s="38"/>
      <c r="FO20" s="38"/>
      <c r="FP20" s="38"/>
      <c r="FQ20" s="38"/>
      <c r="FR20" s="38"/>
      <c r="FS20" s="38"/>
      <c r="FT20" s="38"/>
      <c r="FU20" s="38"/>
      <c r="FV20" s="38"/>
      <c r="FW20" s="38"/>
      <c r="FX20" s="38"/>
      <c r="FY20" s="38"/>
      <c r="FZ20" s="38"/>
      <c r="GA20" s="38"/>
      <c r="GB20" s="38"/>
      <c r="GC20" s="38"/>
      <c r="GD20" s="38"/>
      <c r="GE20" s="38"/>
      <c r="GF20" s="38"/>
      <c r="GG20" s="38"/>
      <c r="GH20" s="38"/>
      <c r="GI20" s="38"/>
      <c r="GJ20" s="38"/>
      <c r="GK20" s="38"/>
      <c r="GL20" s="38"/>
      <c r="GM20" s="38"/>
      <c r="GN20" s="38"/>
      <c r="GO20" s="38"/>
      <c r="GP20" s="38"/>
      <c r="GQ20" s="38"/>
      <c r="GR20" s="38"/>
      <c r="GS20" s="38"/>
      <c r="GT20" s="38"/>
      <c r="GU20" s="38"/>
      <c r="GV20" s="38"/>
      <c r="GW20" s="38"/>
      <c r="GX20" s="38"/>
      <c r="GY20" s="38"/>
      <c r="GZ20" s="38"/>
      <c r="HA20" s="38"/>
      <c r="HB20" s="38"/>
      <c r="HC20" s="38"/>
      <c r="HD20" s="38"/>
      <c r="HE20" s="38"/>
      <c r="HF20" s="38"/>
      <c r="HG20" s="38"/>
      <c r="HH20" s="38"/>
      <c r="HI20" s="38"/>
      <c r="HJ20" s="38"/>
      <c r="HK20" s="38"/>
      <c r="HL20" s="38"/>
      <c r="HM20" s="38"/>
      <c r="HN20" s="38"/>
      <c r="HO20" s="38"/>
      <c r="HP20" s="38"/>
      <c r="HQ20" s="38"/>
      <c r="HR20" s="38"/>
      <c r="HS20" s="38"/>
      <c r="HT20" s="38"/>
      <c r="HU20" s="38"/>
      <c r="HV20" s="38"/>
      <c r="HW20" s="38"/>
      <c r="HX20" s="38"/>
      <c r="HY20" s="38"/>
      <c r="HZ20" s="38"/>
      <c r="IA20" s="38"/>
      <c r="IB20" s="38"/>
      <c r="IC20" s="38"/>
      <c r="ID20" s="38"/>
      <c r="IE20" s="38"/>
      <c r="IF20" s="38"/>
      <c r="IG20" s="38"/>
      <c r="IH20" s="38"/>
      <c r="II20" s="38"/>
      <c r="IJ20" s="38"/>
      <c r="IK20" s="38"/>
      <c r="IL20" s="38"/>
      <c r="IM20" s="38"/>
      <c r="IN20" s="38"/>
      <c r="IO20" s="38"/>
      <c r="IP20" s="38"/>
      <c r="IQ20" s="38"/>
      <c r="IR20" s="38"/>
      <c r="IS20" s="38"/>
      <c r="IT20" s="38"/>
      <c r="IU20" s="38"/>
    </row>
    <row r="21" spans="1:255" ht="20.25" customHeight="1" x14ac:dyDescent="0.25">
      <c r="A21" s="28" t="s">
        <v>79</v>
      </c>
      <c r="B21" s="32">
        <v>13</v>
      </c>
      <c r="C21" s="30" t="s">
        <v>266</v>
      </c>
      <c r="D21" s="30" t="s">
        <v>267</v>
      </c>
      <c r="E21" s="81" t="s">
        <v>240</v>
      </c>
      <c r="F21" s="40" t="s">
        <v>65</v>
      </c>
      <c r="G21" s="33">
        <f t="shared" si="0"/>
        <v>73</v>
      </c>
      <c r="H21" s="40">
        <v>15</v>
      </c>
      <c r="I21" s="40">
        <f>(26-H21)</f>
        <v>11</v>
      </c>
      <c r="J21" s="34">
        <v>5</v>
      </c>
      <c r="K21" s="40">
        <f>12+(20-J21)</f>
        <v>27</v>
      </c>
      <c r="L21" s="40">
        <v>12</v>
      </c>
      <c r="M21" s="40">
        <f>(25-L21)</f>
        <v>13</v>
      </c>
      <c r="N21" s="47"/>
      <c r="O21" s="47"/>
      <c r="P21" s="47"/>
      <c r="Q21" s="47"/>
      <c r="R21" s="47"/>
      <c r="S21" s="47"/>
      <c r="T21" s="47"/>
      <c r="U21" s="47"/>
      <c r="V21" s="40">
        <v>8</v>
      </c>
      <c r="W21" s="40">
        <f>6+(24-V21)</f>
        <v>22</v>
      </c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8"/>
      <c r="DB21" s="38"/>
      <c r="DC21" s="38"/>
      <c r="DD21" s="38"/>
      <c r="DE21" s="38"/>
      <c r="DF21" s="38"/>
      <c r="DG21" s="38"/>
      <c r="DH21" s="38"/>
      <c r="DI21" s="38"/>
      <c r="DJ21" s="38"/>
      <c r="DK21" s="38"/>
      <c r="DL21" s="38"/>
      <c r="DM21" s="38"/>
      <c r="DN21" s="38"/>
      <c r="DO21" s="38"/>
      <c r="DP21" s="38"/>
      <c r="DQ21" s="38"/>
      <c r="DR21" s="38"/>
      <c r="DS21" s="38"/>
      <c r="DT21" s="38"/>
      <c r="DU21" s="38"/>
      <c r="DV21" s="38"/>
      <c r="DW21" s="38"/>
      <c r="DX21" s="38"/>
      <c r="DY21" s="38"/>
      <c r="DZ21" s="38"/>
      <c r="EA21" s="38"/>
      <c r="EB21" s="38"/>
      <c r="EC21" s="38"/>
      <c r="ED21" s="38"/>
      <c r="EE21" s="38"/>
      <c r="EF21" s="38"/>
      <c r="EG21" s="38"/>
      <c r="EH21" s="38"/>
      <c r="EI21" s="38"/>
      <c r="EJ21" s="38"/>
      <c r="EK21" s="38"/>
      <c r="EL21" s="38"/>
      <c r="EM21" s="38"/>
      <c r="EN21" s="38"/>
      <c r="EO21" s="38"/>
      <c r="EP21" s="38"/>
      <c r="EQ21" s="38"/>
      <c r="ER21" s="38"/>
      <c r="ES21" s="38"/>
      <c r="ET21" s="38"/>
      <c r="EU21" s="38"/>
      <c r="EV21" s="38"/>
      <c r="EW21" s="38"/>
      <c r="EX21" s="38"/>
      <c r="EY21" s="38"/>
      <c r="EZ21" s="38"/>
      <c r="FA21" s="38"/>
      <c r="FB21" s="38"/>
      <c r="FC21" s="38"/>
      <c r="FD21" s="38"/>
      <c r="FE21" s="38"/>
      <c r="FF21" s="38"/>
      <c r="FG21" s="38"/>
      <c r="FH21" s="38"/>
      <c r="FI21" s="38"/>
      <c r="FJ21" s="38"/>
      <c r="FK21" s="38"/>
      <c r="FL21" s="38"/>
      <c r="FM21" s="38"/>
      <c r="FN21" s="38"/>
      <c r="FO21" s="38"/>
      <c r="FP21" s="38"/>
      <c r="FQ21" s="38"/>
      <c r="FR21" s="38"/>
      <c r="FS21" s="38"/>
      <c r="FT21" s="38"/>
      <c r="FU21" s="38"/>
      <c r="FV21" s="38"/>
      <c r="FW21" s="38"/>
      <c r="FX21" s="38"/>
      <c r="FY21" s="38"/>
      <c r="FZ21" s="38"/>
      <c r="GA21" s="38"/>
      <c r="GB21" s="38"/>
      <c r="GC21" s="38"/>
      <c r="GD21" s="38"/>
      <c r="GE21" s="38"/>
      <c r="GF21" s="38"/>
      <c r="GG21" s="38"/>
      <c r="GH21" s="38"/>
      <c r="GI21" s="38"/>
      <c r="GJ21" s="38"/>
      <c r="GK21" s="38"/>
      <c r="GL21" s="38"/>
      <c r="GM21" s="38"/>
      <c r="GN21" s="38"/>
      <c r="GO21" s="38"/>
      <c r="GP21" s="38"/>
      <c r="GQ21" s="38"/>
      <c r="GR21" s="38"/>
      <c r="GS21" s="38"/>
      <c r="GT21" s="38"/>
      <c r="GU21" s="38"/>
      <c r="GV21" s="38"/>
      <c r="GW21" s="38"/>
      <c r="GX21" s="38"/>
      <c r="GY21" s="38"/>
      <c r="GZ21" s="38"/>
      <c r="HA21" s="38"/>
      <c r="HB21" s="38"/>
      <c r="HC21" s="38"/>
      <c r="HD21" s="38"/>
      <c r="HE21" s="38"/>
      <c r="HF21" s="38"/>
      <c r="HG21" s="38"/>
      <c r="HH21" s="38"/>
      <c r="HI21" s="38"/>
      <c r="HJ21" s="38"/>
      <c r="HK21" s="38"/>
      <c r="HL21" s="38"/>
      <c r="HM21" s="38"/>
      <c r="HN21" s="38"/>
      <c r="HO21" s="38"/>
      <c r="HP21" s="38"/>
      <c r="HQ21" s="38"/>
      <c r="HR21" s="38"/>
      <c r="HS21" s="38"/>
      <c r="HT21" s="38"/>
      <c r="HU21" s="38"/>
      <c r="HV21" s="38"/>
      <c r="HW21" s="38"/>
      <c r="HX21" s="38"/>
      <c r="HY21" s="38"/>
      <c r="HZ21" s="38"/>
      <c r="IA21" s="38"/>
      <c r="IB21" s="38"/>
      <c r="IC21" s="38"/>
      <c r="ID21" s="38"/>
      <c r="IE21" s="38"/>
      <c r="IF21" s="38"/>
      <c r="IG21" s="38"/>
      <c r="IH21" s="38"/>
      <c r="II21" s="38"/>
      <c r="IJ21" s="38"/>
      <c r="IK21" s="38"/>
      <c r="IL21" s="38"/>
      <c r="IM21" s="38"/>
      <c r="IN21" s="38"/>
      <c r="IO21" s="38"/>
      <c r="IP21" s="38"/>
      <c r="IQ21" s="38"/>
      <c r="IR21" s="38"/>
      <c r="IS21" s="38"/>
      <c r="IT21" s="38"/>
      <c r="IU21" s="38"/>
    </row>
    <row r="22" spans="1:255" s="38" customFormat="1" ht="18.75" customHeight="1" x14ac:dyDescent="0.25">
      <c r="A22" s="28" t="s">
        <v>83</v>
      </c>
      <c r="B22" s="32">
        <v>14</v>
      </c>
      <c r="C22" s="30" t="s">
        <v>268</v>
      </c>
      <c r="D22" s="30" t="s">
        <v>269</v>
      </c>
      <c r="E22" s="82" t="s">
        <v>240</v>
      </c>
      <c r="F22" s="40" t="s">
        <v>246</v>
      </c>
      <c r="G22" s="33">
        <f t="shared" si="0"/>
        <v>67</v>
      </c>
      <c r="H22" s="40">
        <v>8</v>
      </c>
      <c r="I22" s="40">
        <f>6+(26-H22)</f>
        <v>24</v>
      </c>
      <c r="J22" s="40">
        <v>13</v>
      </c>
      <c r="K22" s="40">
        <f>(20-J22)</f>
        <v>7</v>
      </c>
      <c r="L22" s="34">
        <v>7</v>
      </c>
      <c r="M22" s="40">
        <f>8+(25-L22)</f>
        <v>26</v>
      </c>
      <c r="N22" s="47"/>
      <c r="O22" s="47"/>
      <c r="P22" s="47"/>
      <c r="Q22" s="47"/>
      <c r="R22" s="47"/>
      <c r="S22" s="47"/>
      <c r="T22" s="40">
        <v>12</v>
      </c>
      <c r="U22" s="40">
        <f>(22-T22)</f>
        <v>10</v>
      </c>
      <c r="V22" s="47"/>
      <c r="W22" s="47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</row>
    <row r="23" spans="1:255" s="38" customFormat="1" ht="18.75" customHeight="1" x14ac:dyDescent="0.25">
      <c r="A23" s="28" t="s">
        <v>86</v>
      </c>
      <c r="B23" s="32">
        <v>15</v>
      </c>
      <c r="C23" s="30" t="s">
        <v>270</v>
      </c>
      <c r="D23" s="30" t="s">
        <v>271</v>
      </c>
      <c r="E23" s="32" t="s">
        <v>240</v>
      </c>
      <c r="F23" s="40" t="s">
        <v>65</v>
      </c>
      <c r="G23" s="33">
        <f t="shared" si="0"/>
        <v>57</v>
      </c>
      <c r="H23" s="40">
        <v>6</v>
      </c>
      <c r="I23" s="40">
        <f>10+(26-H23)</f>
        <v>30</v>
      </c>
      <c r="J23" s="40">
        <v>16</v>
      </c>
      <c r="K23" s="40">
        <f>(20-J23)</f>
        <v>4</v>
      </c>
      <c r="L23" s="40">
        <v>10</v>
      </c>
      <c r="M23" s="40">
        <f>2+(25-L23)</f>
        <v>17</v>
      </c>
      <c r="N23" s="47"/>
      <c r="O23" s="47"/>
      <c r="P23" s="40">
        <v>23</v>
      </c>
      <c r="Q23" s="40">
        <f>(25-P23)</f>
        <v>2</v>
      </c>
      <c r="R23" s="47"/>
      <c r="S23" s="47"/>
      <c r="T23" s="40">
        <v>18</v>
      </c>
      <c r="U23" s="40">
        <f>(22-T23)</f>
        <v>4</v>
      </c>
      <c r="V23" s="47"/>
      <c r="W23" s="47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</row>
    <row r="24" spans="1:255" s="38" customFormat="1" ht="18.75" customHeight="1" x14ac:dyDescent="0.25">
      <c r="A24" s="28" t="s">
        <v>155</v>
      </c>
      <c r="B24" s="32">
        <v>16</v>
      </c>
      <c r="C24" s="30" t="s">
        <v>272</v>
      </c>
      <c r="D24" s="30" t="s">
        <v>273</v>
      </c>
      <c r="E24" s="82" t="s">
        <v>240</v>
      </c>
      <c r="F24" s="40" t="s">
        <v>274</v>
      </c>
      <c r="G24" s="33">
        <f t="shared" si="0"/>
        <v>56</v>
      </c>
      <c r="H24" s="34">
        <v>5</v>
      </c>
      <c r="I24" s="40">
        <f>12+(26-H24)</f>
        <v>33</v>
      </c>
      <c r="J24" s="40">
        <v>12</v>
      </c>
      <c r="K24" s="40">
        <f>(20-J24)</f>
        <v>8</v>
      </c>
      <c r="L24" s="40">
        <v>14</v>
      </c>
      <c r="M24" s="40">
        <f>(25-L24)</f>
        <v>11</v>
      </c>
      <c r="N24" s="47"/>
      <c r="O24" s="47"/>
      <c r="P24" s="40">
        <v>21</v>
      </c>
      <c r="Q24" s="40">
        <f>(25-P24)</f>
        <v>4</v>
      </c>
      <c r="R24" s="47"/>
      <c r="S24" s="35"/>
      <c r="T24" s="47"/>
      <c r="U24" s="47"/>
      <c r="V24" s="47"/>
      <c r="W24" s="47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</row>
    <row r="25" spans="1:255" s="38" customFormat="1" ht="18.75" customHeight="1" x14ac:dyDescent="0.25">
      <c r="A25" s="28" t="s">
        <v>158</v>
      </c>
      <c r="B25" s="32">
        <v>17</v>
      </c>
      <c r="C25" s="30" t="s">
        <v>275</v>
      </c>
      <c r="D25" s="30" t="s">
        <v>276</v>
      </c>
      <c r="E25" s="75" t="s">
        <v>240</v>
      </c>
      <c r="F25" s="40" t="s">
        <v>246</v>
      </c>
      <c r="G25" s="33">
        <f t="shared" si="0"/>
        <v>51</v>
      </c>
      <c r="H25" s="40">
        <v>10</v>
      </c>
      <c r="I25" s="40">
        <f>2+(26-H25)</f>
        <v>18</v>
      </c>
      <c r="J25" s="34">
        <v>3</v>
      </c>
      <c r="K25" s="40">
        <f>16+(20-J25)</f>
        <v>33</v>
      </c>
      <c r="L25" s="40" t="s">
        <v>69</v>
      </c>
      <c r="M25" s="40">
        <v>0</v>
      </c>
      <c r="N25" s="47"/>
      <c r="O25" s="47"/>
      <c r="P25" s="47"/>
      <c r="Q25" s="47"/>
      <c r="R25" s="47"/>
      <c r="S25" s="35"/>
      <c r="T25" s="47"/>
      <c r="U25" s="47"/>
      <c r="V25" s="47"/>
      <c r="W25" s="47"/>
      <c r="X25" s="83"/>
      <c r="Y25" s="83"/>
    </row>
    <row r="26" spans="1:255" s="38" customFormat="1" ht="18.75" customHeight="1" x14ac:dyDescent="0.25">
      <c r="A26" s="28" t="s">
        <v>161</v>
      </c>
      <c r="B26" s="32">
        <v>18</v>
      </c>
      <c r="C26" s="30" t="s">
        <v>277</v>
      </c>
      <c r="D26" s="30" t="s">
        <v>278</v>
      </c>
      <c r="E26" s="81" t="s">
        <v>240</v>
      </c>
      <c r="F26" s="40" t="s">
        <v>279</v>
      </c>
      <c r="G26" s="33">
        <f t="shared" si="0"/>
        <v>46</v>
      </c>
      <c r="H26" s="40">
        <v>20</v>
      </c>
      <c r="I26" s="40">
        <f>(26-H26)</f>
        <v>6</v>
      </c>
      <c r="J26" s="47"/>
      <c r="K26" s="47"/>
      <c r="L26" s="40">
        <v>17</v>
      </c>
      <c r="M26" s="40">
        <f>(25-L26)</f>
        <v>8</v>
      </c>
      <c r="N26" s="47"/>
      <c r="O26" s="47"/>
      <c r="P26" s="47"/>
      <c r="Q26" s="47"/>
      <c r="R26" s="47"/>
      <c r="S26" s="35"/>
      <c r="T26" s="34">
        <v>4</v>
      </c>
      <c r="U26" s="40">
        <f>14+(22-T26)</f>
        <v>32</v>
      </c>
      <c r="V26" s="47"/>
      <c r="W26" s="47"/>
      <c r="IR26" s="1"/>
      <c r="IS26" s="1"/>
      <c r="IT26" s="1"/>
      <c r="IU26" s="1"/>
    </row>
    <row r="27" spans="1:255" s="38" customFormat="1" ht="18.75" customHeight="1" x14ac:dyDescent="0.25">
      <c r="A27" s="28" t="s">
        <v>168</v>
      </c>
      <c r="B27" s="32">
        <v>19</v>
      </c>
      <c r="C27" s="30" t="s">
        <v>280</v>
      </c>
      <c r="D27" s="30" t="s">
        <v>281</v>
      </c>
      <c r="E27" s="84" t="s">
        <v>240</v>
      </c>
      <c r="F27" s="79" t="s">
        <v>65</v>
      </c>
      <c r="G27" s="33">
        <f>I27+K27+M27+O27+Q27+S27+U27+W27-K27</f>
        <v>43</v>
      </c>
      <c r="H27" s="40">
        <v>18</v>
      </c>
      <c r="I27" s="40">
        <f>(26-H27)</f>
        <v>8</v>
      </c>
      <c r="J27" s="40">
        <v>20</v>
      </c>
      <c r="K27" s="74">
        <f>(20-J27)</f>
        <v>0</v>
      </c>
      <c r="L27" s="40">
        <v>13</v>
      </c>
      <c r="M27" s="40">
        <f>(25-L27)</f>
        <v>12</v>
      </c>
      <c r="N27" s="47"/>
      <c r="O27" s="47"/>
      <c r="P27" s="40">
        <v>24</v>
      </c>
      <c r="Q27" s="40">
        <f>(25-P27)</f>
        <v>1</v>
      </c>
      <c r="R27" s="47"/>
      <c r="S27" s="47"/>
      <c r="T27" s="40">
        <v>9</v>
      </c>
      <c r="U27" s="40">
        <f>4+(22-T27)</f>
        <v>17</v>
      </c>
      <c r="V27" s="40">
        <v>19</v>
      </c>
      <c r="W27" s="40">
        <f>(24-V27)</f>
        <v>5</v>
      </c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  <c r="GF27" s="27"/>
      <c r="GG27" s="27"/>
      <c r="GH27" s="27"/>
      <c r="GI27" s="27"/>
      <c r="GJ27" s="27"/>
      <c r="GK27" s="27"/>
      <c r="GL27" s="27"/>
      <c r="GM27" s="27"/>
      <c r="GN27" s="27"/>
      <c r="GO27" s="27"/>
      <c r="GP27" s="27"/>
      <c r="GQ27" s="27"/>
      <c r="GR27" s="27"/>
      <c r="GS27" s="27"/>
      <c r="GT27" s="27"/>
      <c r="GU27" s="27"/>
      <c r="GV27" s="27"/>
      <c r="GW27" s="27"/>
      <c r="GX27" s="27"/>
      <c r="GY27" s="27"/>
      <c r="GZ27" s="27"/>
      <c r="HA27" s="27"/>
      <c r="HB27" s="27"/>
      <c r="HC27" s="27"/>
      <c r="HD27" s="27"/>
      <c r="HE27" s="27"/>
      <c r="HF27" s="27"/>
      <c r="HG27" s="27"/>
      <c r="HH27" s="27"/>
      <c r="HI27" s="27"/>
      <c r="HJ27" s="27"/>
      <c r="HK27" s="27"/>
      <c r="HL27" s="27"/>
      <c r="HM27" s="27"/>
      <c r="HN27" s="27"/>
      <c r="HO27" s="27"/>
      <c r="HP27" s="27"/>
      <c r="HQ27" s="27"/>
      <c r="HR27" s="27"/>
      <c r="HS27" s="27"/>
      <c r="HT27" s="27"/>
      <c r="HU27" s="27"/>
      <c r="HV27" s="27"/>
      <c r="HW27" s="27"/>
      <c r="HX27" s="27"/>
      <c r="HY27" s="27"/>
      <c r="HZ27" s="27"/>
      <c r="IA27" s="27"/>
      <c r="IB27" s="27"/>
      <c r="IC27" s="27"/>
      <c r="ID27" s="27"/>
      <c r="IE27" s="27"/>
      <c r="IF27" s="27"/>
      <c r="IG27" s="27"/>
      <c r="IH27" s="27"/>
      <c r="II27" s="27"/>
      <c r="IJ27" s="27"/>
      <c r="IK27" s="27"/>
      <c r="IL27" s="27"/>
      <c r="IM27" s="27"/>
      <c r="IN27" s="27"/>
      <c r="IO27" s="27"/>
      <c r="IP27" s="27"/>
      <c r="IQ27" s="27"/>
    </row>
    <row r="28" spans="1:255" s="38" customFormat="1" ht="18.75" customHeight="1" x14ac:dyDescent="0.25">
      <c r="A28" s="28" t="s">
        <v>171</v>
      </c>
      <c r="B28" s="32">
        <v>20</v>
      </c>
      <c r="C28" s="30" t="s">
        <v>282</v>
      </c>
      <c r="D28" s="30" t="s">
        <v>283</v>
      </c>
      <c r="E28" s="77" t="s">
        <v>240</v>
      </c>
      <c r="F28" s="40" t="s">
        <v>279</v>
      </c>
      <c r="G28" s="33">
        <f t="shared" ref="G28:G59" si="1">I28+K28+M28+O28+Q28+S28+U28+W28</f>
        <v>40</v>
      </c>
      <c r="H28" s="40" t="s">
        <v>69</v>
      </c>
      <c r="I28" s="40">
        <v>0</v>
      </c>
      <c r="J28" s="47"/>
      <c r="K28" s="47"/>
      <c r="L28" s="43">
        <v>6</v>
      </c>
      <c r="M28" s="40">
        <f>10+(25-L28)</f>
        <v>29</v>
      </c>
      <c r="N28" s="47"/>
      <c r="O28" s="47"/>
      <c r="P28" s="40">
        <v>25</v>
      </c>
      <c r="Q28" s="40">
        <f>(25-P28)</f>
        <v>0</v>
      </c>
      <c r="R28" s="47"/>
      <c r="S28" s="47"/>
      <c r="T28" s="40">
        <v>22</v>
      </c>
      <c r="U28" s="40">
        <f>(22-T28)</f>
        <v>0</v>
      </c>
      <c r="V28" s="40">
        <v>13</v>
      </c>
      <c r="W28" s="40">
        <f>(24-V28)</f>
        <v>11</v>
      </c>
    </row>
    <row r="29" spans="1:255" ht="20.25" customHeight="1" x14ac:dyDescent="0.25">
      <c r="A29" s="28" t="s">
        <v>174</v>
      </c>
      <c r="B29" s="32">
        <v>21</v>
      </c>
      <c r="C29" s="30" t="s">
        <v>284</v>
      </c>
      <c r="D29" s="30" t="s">
        <v>285</v>
      </c>
      <c r="E29" s="82" t="s">
        <v>240</v>
      </c>
      <c r="F29" s="40" t="s">
        <v>246</v>
      </c>
      <c r="G29" s="33">
        <f>I29+K29+M29+O29+Q29+S29+U29+W29</f>
        <v>31</v>
      </c>
      <c r="H29" s="47"/>
      <c r="I29" s="47"/>
      <c r="J29" s="47"/>
      <c r="K29" s="47"/>
      <c r="L29" s="40">
        <v>17</v>
      </c>
      <c r="M29" s="40">
        <f>(25-L29)</f>
        <v>8</v>
      </c>
      <c r="N29" s="47"/>
      <c r="O29" s="47"/>
      <c r="P29" s="34">
        <v>8</v>
      </c>
      <c r="Q29" s="40">
        <f>6+(25-P29)</f>
        <v>23</v>
      </c>
      <c r="R29" s="47"/>
      <c r="S29" s="35"/>
      <c r="T29" s="47"/>
      <c r="U29" s="47"/>
      <c r="V29" s="47"/>
      <c r="W29" s="47"/>
      <c r="IR29" s="38"/>
      <c r="IS29" s="38"/>
      <c r="IT29" s="38"/>
      <c r="IU29" s="38"/>
    </row>
    <row r="30" spans="1:255" s="38" customFormat="1" ht="18.75" customHeight="1" x14ac:dyDescent="0.25">
      <c r="A30" s="28" t="s">
        <v>286</v>
      </c>
      <c r="B30" s="32">
        <v>22</v>
      </c>
      <c r="C30" s="30" t="s">
        <v>287</v>
      </c>
      <c r="D30" s="30" t="s">
        <v>288</v>
      </c>
      <c r="E30" s="84" t="s">
        <v>240</v>
      </c>
      <c r="F30" s="40" t="s">
        <v>289</v>
      </c>
      <c r="G30" s="33">
        <f t="shared" si="1"/>
        <v>31</v>
      </c>
      <c r="H30" s="40">
        <v>16</v>
      </c>
      <c r="I30" s="40">
        <f>(26-H30)</f>
        <v>10</v>
      </c>
      <c r="J30" s="40">
        <v>8</v>
      </c>
      <c r="K30" s="40">
        <f>6+(20-J30)</f>
        <v>18</v>
      </c>
      <c r="L30" s="47"/>
      <c r="M30" s="47"/>
      <c r="N30" s="47"/>
      <c r="O30" s="47"/>
      <c r="P30" s="47"/>
      <c r="Q30" s="47"/>
      <c r="R30" s="47"/>
      <c r="S30" s="47"/>
      <c r="T30" s="40">
        <v>19</v>
      </c>
      <c r="U30" s="40">
        <f>(22-T30)</f>
        <v>3</v>
      </c>
      <c r="V30" s="47"/>
      <c r="W30" s="47"/>
      <c r="IR30" s="1"/>
      <c r="IS30" s="1"/>
      <c r="IT30" s="1"/>
      <c r="IU30" s="1"/>
    </row>
    <row r="31" spans="1:255" s="38" customFormat="1" ht="18.75" customHeight="1" x14ac:dyDescent="0.25">
      <c r="A31" s="28" t="s">
        <v>290</v>
      </c>
      <c r="B31" s="32">
        <v>23</v>
      </c>
      <c r="C31" s="30" t="s">
        <v>291</v>
      </c>
      <c r="D31" s="30" t="s">
        <v>292</v>
      </c>
      <c r="E31" s="85" t="s">
        <v>240</v>
      </c>
      <c r="F31" s="40" t="s">
        <v>65</v>
      </c>
      <c r="G31" s="33">
        <f t="shared" si="1"/>
        <v>30</v>
      </c>
      <c r="H31" s="40">
        <v>14</v>
      </c>
      <c r="I31" s="40">
        <f>(26-H31)</f>
        <v>12</v>
      </c>
      <c r="J31" s="47"/>
      <c r="K31" s="47"/>
      <c r="L31" s="40">
        <v>23</v>
      </c>
      <c r="M31" s="40">
        <f>(25-L31)</f>
        <v>2</v>
      </c>
      <c r="N31" s="47"/>
      <c r="O31" s="47"/>
      <c r="P31" s="47"/>
      <c r="Q31" s="47"/>
      <c r="R31" s="47"/>
      <c r="S31" s="35"/>
      <c r="T31" s="40">
        <v>16</v>
      </c>
      <c r="U31" s="40">
        <f>(22-T31)</f>
        <v>6</v>
      </c>
      <c r="V31" s="40">
        <v>14</v>
      </c>
      <c r="W31" s="40">
        <f>(24-V31)</f>
        <v>10</v>
      </c>
    </row>
    <row r="32" spans="1:255" s="38" customFormat="1" ht="18.75" customHeight="1" x14ac:dyDescent="0.25">
      <c r="A32" s="28" t="s">
        <v>186</v>
      </c>
      <c r="B32" s="32">
        <v>24</v>
      </c>
      <c r="C32" s="30" t="s">
        <v>293</v>
      </c>
      <c r="D32" s="30" t="s">
        <v>294</v>
      </c>
      <c r="E32" s="86" t="s">
        <v>240</v>
      </c>
      <c r="F32" s="40" t="s">
        <v>246</v>
      </c>
      <c r="G32" s="33">
        <f t="shared" si="1"/>
        <v>29</v>
      </c>
      <c r="H32" s="47"/>
      <c r="I32" s="47"/>
      <c r="J32" s="40">
        <v>6</v>
      </c>
      <c r="K32" s="40">
        <f>10+(20-J32)</f>
        <v>24</v>
      </c>
      <c r="L32" s="40">
        <v>20</v>
      </c>
      <c r="M32" s="40">
        <f>(25-L32)</f>
        <v>5</v>
      </c>
      <c r="N32" s="47"/>
      <c r="O32" s="47"/>
      <c r="P32" s="47"/>
      <c r="Q32" s="47"/>
      <c r="R32" s="47"/>
      <c r="S32" s="35"/>
      <c r="T32" s="47"/>
      <c r="U32" s="47"/>
      <c r="V32" s="47"/>
      <c r="W32" s="47"/>
    </row>
    <row r="33" spans="1:255" s="38" customFormat="1" ht="18.75" customHeight="1" x14ac:dyDescent="0.25">
      <c r="A33" s="28" t="s">
        <v>189</v>
      </c>
      <c r="B33" s="32">
        <v>25</v>
      </c>
      <c r="C33" s="30" t="s">
        <v>295</v>
      </c>
      <c r="D33" s="30" t="s">
        <v>296</v>
      </c>
      <c r="E33" s="75" t="s">
        <v>240</v>
      </c>
      <c r="F33" s="40" t="s">
        <v>246</v>
      </c>
      <c r="G33" s="33">
        <f>I33+K33+M33+O33+Q33+S33+U33+W33</f>
        <v>28</v>
      </c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34">
        <v>6</v>
      </c>
      <c r="W33" s="40">
        <f>10+(24-V33)</f>
        <v>28</v>
      </c>
    </row>
    <row r="34" spans="1:255" s="38" customFormat="1" ht="20.25" customHeight="1" x14ac:dyDescent="0.25">
      <c r="A34" s="28" t="s">
        <v>297</v>
      </c>
      <c r="B34" s="32">
        <v>26</v>
      </c>
      <c r="C34" s="30" t="s">
        <v>298</v>
      </c>
      <c r="D34" s="30" t="s">
        <v>299</v>
      </c>
      <c r="E34" s="48" t="s">
        <v>240</v>
      </c>
      <c r="F34" s="79" t="s">
        <v>246</v>
      </c>
      <c r="G34" s="33">
        <f t="shared" si="1"/>
        <v>28</v>
      </c>
      <c r="H34" s="47"/>
      <c r="I34" s="47"/>
      <c r="J34" s="47"/>
      <c r="K34" s="47"/>
      <c r="L34" s="47"/>
      <c r="M34" s="47"/>
      <c r="N34" s="34">
        <v>3</v>
      </c>
      <c r="O34" s="40">
        <f>16+(15-N34)</f>
        <v>28</v>
      </c>
      <c r="P34" s="47"/>
      <c r="Q34" s="47"/>
      <c r="R34" s="72"/>
      <c r="S34" s="72"/>
      <c r="T34" s="47"/>
      <c r="U34" s="47"/>
      <c r="V34" s="47"/>
      <c r="W34" s="47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</row>
    <row r="35" spans="1:255" s="38" customFormat="1" ht="18.75" customHeight="1" x14ac:dyDescent="0.25">
      <c r="A35" s="28" t="s">
        <v>194</v>
      </c>
      <c r="B35" s="32">
        <v>27</v>
      </c>
      <c r="C35" s="30" t="s">
        <v>300</v>
      </c>
      <c r="D35" s="30" t="s">
        <v>301</v>
      </c>
      <c r="E35" s="84" t="s">
        <v>240</v>
      </c>
      <c r="F35" s="79" t="s">
        <v>246</v>
      </c>
      <c r="G35" s="33">
        <f>I35+K35+M35+O35+Q35+S35+U35+W35</f>
        <v>28</v>
      </c>
      <c r="H35" s="40">
        <v>11</v>
      </c>
      <c r="I35" s="40">
        <f>(26-H35)</f>
        <v>15</v>
      </c>
      <c r="J35" s="47"/>
      <c r="K35" s="47"/>
      <c r="L35" s="47"/>
      <c r="M35" s="47"/>
      <c r="N35" s="47"/>
      <c r="O35" s="47"/>
      <c r="P35" s="47"/>
      <c r="Q35" s="47"/>
      <c r="R35" s="40">
        <v>6</v>
      </c>
      <c r="S35" s="28">
        <f>10+(9-R35)</f>
        <v>13</v>
      </c>
      <c r="T35" s="47"/>
      <c r="U35" s="47"/>
      <c r="V35" s="47"/>
      <c r="W35" s="47"/>
    </row>
    <row r="36" spans="1:255" s="38" customFormat="1" ht="18.75" customHeight="1" x14ac:dyDescent="0.25">
      <c r="A36" s="64" t="s">
        <v>69</v>
      </c>
      <c r="B36" s="32">
        <v>28</v>
      </c>
      <c r="C36" s="30" t="s">
        <v>302</v>
      </c>
      <c r="D36" s="30" t="s">
        <v>303</v>
      </c>
      <c r="E36" s="84" t="s">
        <v>240</v>
      </c>
      <c r="F36" s="40" t="s">
        <v>65</v>
      </c>
      <c r="G36" s="33">
        <f t="shared" si="1"/>
        <v>28</v>
      </c>
      <c r="H36" s="47"/>
      <c r="I36" s="47"/>
      <c r="J36" s="47"/>
      <c r="K36" s="47"/>
      <c r="L36" s="40">
        <v>10</v>
      </c>
      <c r="M36" s="40">
        <f>2+(25-L36)</f>
        <v>17</v>
      </c>
      <c r="N36" s="40" t="s">
        <v>69</v>
      </c>
      <c r="O36" s="40">
        <v>0</v>
      </c>
      <c r="P36" s="40">
        <v>14</v>
      </c>
      <c r="Q36" s="40">
        <f>(25-P36)</f>
        <v>11</v>
      </c>
      <c r="R36" s="47"/>
      <c r="S36" s="35"/>
      <c r="T36" s="72"/>
      <c r="U36" s="72"/>
      <c r="V36" s="47"/>
      <c r="W36" s="47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</row>
    <row r="37" spans="1:255" s="38" customFormat="1" ht="18.75" customHeight="1" x14ac:dyDescent="0.25">
      <c r="A37" s="64" t="s">
        <v>69</v>
      </c>
      <c r="B37" s="32">
        <v>29</v>
      </c>
      <c r="C37" s="30" t="s">
        <v>304</v>
      </c>
      <c r="D37" s="30" t="s">
        <v>305</v>
      </c>
      <c r="E37" s="75" t="s">
        <v>240</v>
      </c>
      <c r="F37" s="40" t="s">
        <v>65</v>
      </c>
      <c r="G37" s="33">
        <f t="shared" si="1"/>
        <v>25</v>
      </c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34">
        <v>2</v>
      </c>
      <c r="S37" s="28">
        <f>18+(9-R37)</f>
        <v>25</v>
      </c>
      <c r="T37" s="47"/>
      <c r="U37" s="47"/>
      <c r="V37" s="47"/>
      <c r="W37" s="47"/>
    </row>
    <row r="38" spans="1:255" s="38" customFormat="1" ht="18.75" customHeight="1" x14ac:dyDescent="0.25">
      <c r="A38" s="64" t="s">
        <v>69</v>
      </c>
      <c r="B38" s="32">
        <v>30</v>
      </c>
      <c r="C38" s="30" t="s">
        <v>306</v>
      </c>
      <c r="D38" s="30" t="s">
        <v>307</v>
      </c>
      <c r="E38" s="84" t="s">
        <v>240</v>
      </c>
      <c r="F38" s="79" t="s">
        <v>65</v>
      </c>
      <c r="G38" s="33">
        <f t="shared" si="1"/>
        <v>25</v>
      </c>
      <c r="H38" s="40">
        <v>21</v>
      </c>
      <c r="I38" s="40">
        <f>(26-H38)</f>
        <v>5</v>
      </c>
      <c r="J38" s="40">
        <v>19</v>
      </c>
      <c r="K38" s="40">
        <f>(20-J38)</f>
        <v>1</v>
      </c>
      <c r="L38" s="40">
        <v>17</v>
      </c>
      <c r="M38" s="40">
        <f>(25-L38)</f>
        <v>8</v>
      </c>
      <c r="N38" s="47"/>
      <c r="O38" s="47"/>
      <c r="P38" s="47"/>
      <c r="Q38" s="47"/>
      <c r="R38" s="47"/>
      <c r="S38" s="35"/>
      <c r="T38" s="40">
        <v>17</v>
      </c>
      <c r="U38" s="40">
        <f>(22-T38)</f>
        <v>5</v>
      </c>
      <c r="V38" s="40">
        <v>18</v>
      </c>
      <c r="W38" s="40">
        <f>(24-V38)</f>
        <v>6</v>
      </c>
    </row>
    <row r="39" spans="1:255" ht="23.25" customHeight="1" x14ac:dyDescent="0.25">
      <c r="A39" s="64" t="s">
        <v>69</v>
      </c>
      <c r="B39" s="32">
        <v>31</v>
      </c>
      <c r="C39" s="30" t="s">
        <v>308</v>
      </c>
      <c r="D39" s="30" t="s">
        <v>309</v>
      </c>
      <c r="E39" s="84" t="s">
        <v>240</v>
      </c>
      <c r="F39" s="79" t="s">
        <v>279</v>
      </c>
      <c r="G39" s="33">
        <f t="shared" si="1"/>
        <v>22</v>
      </c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35"/>
      <c r="T39" s="40">
        <v>8</v>
      </c>
      <c r="U39" s="40">
        <f>6+(22-T39)</f>
        <v>20</v>
      </c>
      <c r="V39" s="40">
        <v>22</v>
      </c>
      <c r="W39" s="40">
        <f>(24-V39)</f>
        <v>2</v>
      </c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  <c r="BM39" s="38"/>
      <c r="BN39" s="38"/>
      <c r="BO39" s="38"/>
      <c r="BP39" s="38"/>
      <c r="BQ39" s="38"/>
      <c r="BR39" s="38"/>
      <c r="BS39" s="38"/>
      <c r="BT39" s="38"/>
      <c r="BU39" s="38"/>
      <c r="BV39" s="38"/>
      <c r="BW39" s="38"/>
      <c r="BX39" s="38"/>
      <c r="BY39" s="38"/>
      <c r="BZ39" s="38"/>
      <c r="CA39" s="38"/>
      <c r="CB39" s="38"/>
      <c r="CC39" s="38"/>
      <c r="CD39" s="38"/>
      <c r="CE39" s="38"/>
      <c r="CF39" s="38"/>
      <c r="CG39" s="38"/>
      <c r="CH39" s="38"/>
      <c r="CI39" s="38"/>
      <c r="CJ39" s="38"/>
      <c r="CK39" s="38"/>
      <c r="CL39" s="38"/>
      <c r="CM39" s="38"/>
      <c r="CN39" s="38"/>
      <c r="CO39" s="38"/>
      <c r="CP39" s="38"/>
      <c r="CQ39" s="38"/>
      <c r="CR39" s="38"/>
      <c r="CS39" s="38"/>
      <c r="CT39" s="38"/>
      <c r="CU39" s="38"/>
      <c r="CV39" s="38"/>
      <c r="CW39" s="38"/>
      <c r="CX39" s="38"/>
      <c r="CY39" s="38"/>
      <c r="CZ39" s="38"/>
      <c r="DA39" s="38"/>
      <c r="DB39" s="38"/>
      <c r="DC39" s="38"/>
      <c r="DD39" s="38"/>
      <c r="DE39" s="38"/>
      <c r="DF39" s="38"/>
      <c r="DG39" s="38"/>
      <c r="DH39" s="38"/>
      <c r="DI39" s="38"/>
      <c r="DJ39" s="38"/>
      <c r="DK39" s="38"/>
      <c r="DL39" s="38"/>
      <c r="DM39" s="38"/>
      <c r="DN39" s="38"/>
      <c r="DO39" s="38"/>
      <c r="DP39" s="38"/>
      <c r="DQ39" s="38"/>
      <c r="DR39" s="38"/>
      <c r="DS39" s="38"/>
      <c r="DT39" s="38"/>
      <c r="DU39" s="38"/>
      <c r="DV39" s="38"/>
      <c r="DW39" s="38"/>
      <c r="DX39" s="38"/>
      <c r="DY39" s="38"/>
      <c r="DZ39" s="38"/>
      <c r="EA39" s="38"/>
      <c r="EB39" s="38"/>
      <c r="EC39" s="38"/>
      <c r="ED39" s="38"/>
      <c r="EE39" s="38"/>
      <c r="EF39" s="38"/>
      <c r="EG39" s="38"/>
      <c r="EH39" s="38"/>
      <c r="EI39" s="38"/>
      <c r="EJ39" s="38"/>
      <c r="EK39" s="38"/>
      <c r="EL39" s="38"/>
      <c r="EM39" s="38"/>
      <c r="EN39" s="38"/>
      <c r="EO39" s="38"/>
      <c r="EP39" s="38"/>
      <c r="EQ39" s="38"/>
      <c r="ER39" s="38"/>
      <c r="ES39" s="38"/>
      <c r="ET39" s="38"/>
      <c r="EU39" s="38"/>
      <c r="EV39" s="38"/>
      <c r="EW39" s="38"/>
      <c r="EX39" s="38"/>
      <c r="EY39" s="38"/>
      <c r="EZ39" s="38"/>
      <c r="FA39" s="38"/>
      <c r="FB39" s="38"/>
      <c r="FC39" s="38"/>
      <c r="FD39" s="38"/>
      <c r="FE39" s="38"/>
      <c r="FF39" s="38"/>
      <c r="FG39" s="38"/>
      <c r="FH39" s="38"/>
      <c r="FI39" s="38"/>
      <c r="FJ39" s="38"/>
      <c r="FK39" s="38"/>
      <c r="FL39" s="38"/>
      <c r="FM39" s="38"/>
      <c r="FN39" s="38"/>
      <c r="FO39" s="38"/>
      <c r="FP39" s="38"/>
      <c r="FQ39" s="38"/>
      <c r="FR39" s="38"/>
      <c r="FS39" s="38"/>
      <c r="FT39" s="38"/>
      <c r="FU39" s="38"/>
      <c r="FV39" s="38"/>
      <c r="FW39" s="38"/>
      <c r="FX39" s="38"/>
      <c r="FY39" s="38"/>
      <c r="FZ39" s="38"/>
      <c r="GA39" s="38"/>
      <c r="GB39" s="38"/>
      <c r="GC39" s="38"/>
      <c r="GD39" s="38"/>
      <c r="GE39" s="38"/>
      <c r="GF39" s="38"/>
      <c r="GG39" s="38"/>
      <c r="GH39" s="38"/>
      <c r="GI39" s="38"/>
      <c r="GJ39" s="38"/>
      <c r="GK39" s="38"/>
      <c r="GL39" s="38"/>
      <c r="GM39" s="38"/>
      <c r="GN39" s="38"/>
      <c r="GO39" s="38"/>
      <c r="GP39" s="38"/>
      <c r="GQ39" s="38"/>
      <c r="GR39" s="38"/>
      <c r="GS39" s="38"/>
      <c r="GT39" s="38"/>
      <c r="GU39" s="38"/>
      <c r="GV39" s="38"/>
      <c r="GW39" s="38"/>
      <c r="GX39" s="38"/>
      <c r="GY39" s="38"/>
      <c r="GZ39" s="38"/>
      <c r="HA39" s="38"/>
      <c r="HB39" s="38"/>
      <c r="HC39" s="38"/>
      <c r="HD39" s="38"/>
      <c r="HE39" s="38"/>
      <c r="HF39" s="38"/>
      <c r="HG39" s="38"/>
      <c r="HH39" s="38"/>
      <c r="HI39" s="38"/>
      <c r="HJ39" s="38"/>
      <c r="HK39" s="38"/>
      <c r="HL39" s="38"/>
      <c r="HM39" s="38"/>
      <c r="HN39" s="38"/>
      <c r="HO39" s="38"/>
      <c r="HP39" s="38"/>
      <c r="HQ39" s="38"/>
      <c r="HR39" s="38"/>
      <c r="HS39" s="38"/>
      <c r="HT39" s="38"/>
      <c r="HU39" s="38"/>
      <c r="HV39" s="38"/>
      <c r="HW39" s="38"/>
      <c r="HX39" s="38"/>
      <c r="HY39" s="38"/>
      <c r="HZ39" s="38"/>
      <c r="IA39" s="38"/>
      <c r="IB39" s="38"/>
      <c r="IC39" s="38"/>
      <c r="ID39" s="38"/>
      <c r="IE39" s="38"/>
      <c r="IF39" s="38"/>
      <c r="IG39" s="38"/>
      <c r="IH39" s="38"/>
      <c r="II39" s="38"/>
      <c r="IJ39" s="38"/>
      <c r="IK39" s="38"/>
      <c r="IL39" s="38"/>
      <c r="IM39" s="38"/>
      <c r="IN39" s="38"/>
      <c r="IO39" s="38"/>
      <c r="IP39" s="38"/>
      <c r="IQ39" s="38"/>
      <c r="IR39" s="38"/>
      <c r="IS39" s="38"/>
      <c r="IT39" s="38"/>
      <c r="IU39" s="38"/>
    </row>
    <row r="40" spans="1:255" ht="23.25" customHeight="1" x14ac:dyDescent="0.25">
      <c r="A40" s="64" t="s">
        <v>69</v>
      </c>
      <c r="B40" s="32">
        <v>32</v>
      </c>
      <c r="C40" s="30" t="s">
        <v>310</v>
      </c>
      <c r="D40" s="30" t="s">
        <v>311</v>
      </c>
      <c r="E40" s="84" t="s">
        <v>240</v>
      </c>
      <c r="F40" s="40" t="s">
        <v>274</v>
      </c>
      <c r="G40" s="33">
        <f t="shared" si="1"/>
        <v>22</v>
      </c>
      <c r="H40" s="40" t="s">
        <v>69</v>
      </c>
      <c r="I40" s="40">
        <v>0</v>
      </c>
      <c r="J40" s="47"/>
      <c r="K40" s="47"/>
      <c r="L40" s="47"/>
      <c r="M40" s="47"/>
      <c r="N40" s="40">
        <v>5</v>
      </c>
      <c r="O40" s="40">
        <f>12+(15-N40)</f>
        <v>22</v>
      </c>
      <c r="P40" s="47"/>
      <c r="Q40" s="47"/>
      <c r="R40" s="47"/>
      <c r="S40" s="47"/>
      <c r="T40" s="47"/>
      <c r="U40" s="47"/>
      <c r="V40" s="47"/>
      <c r="W40" s="47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  <c r="BM40" s="38"/>
      <c r="BN40" s="38"/>
      <c r="BO40" s="38"/>
      <c r="BP40" s="38"/>
      <c r="BQ40" s="38"/>
      <c r="BR40" s="38"/>
      <c r="BS40" s="38"/>
      <c r="BT40" s="38"/>
      <c r="BU40" s="38"/>
      <c r="BV40" s="38"/>
      <c r="BW40" s="38"/>
      <c r="BX40" s="38"/>
      <c r="BY40" s="38"/>
      <c r="BZ40" s="38"/>
      <c r="CA40" s="38"/>
      <c r="CB40" s="38"/>
      <c r="CC40" s="38"/>
      <c r="CD40" s="38"/>
      <c r="CE40" s="38"/>
      <c r="CF40" s="38"/>
      <c r="CG40" s="38"/>
      <c r="CH40" s="38"/>
      <c r="CI40" s="38"/>
      <c r="CJ40" s="38"/>
      <c r="CK40" s="38"/>
      <c r="CL40" s="38"/>
      <c r="CM40" s="38"/>
      <c r="CN40" s="38"/>
      <c r="CO40" s="38"/>
      <c r="CP40" s="38"/>
      <c r="CQ40" s="38"/>
      <c r="CR40" s="38"/>
      <c r="CS40" s="38"/>
      <c r="CT40" s="38"/>
      <c r="CU40" s="38"/>
      <c r="CV40" s="38"/>
      <c r="CW40" s="38"/>
      <c r="CX40" s="38"/>
      <c r="CY40" s="38"/>
      <c r="CZ40" s="38"/>
      <c r="DA40" s="38"/>
      <c r="DB40" s="38"/>
      <c r="DC40" s="38"/>
      <c r="DD40" s="38"/>
      <c r="DE40" s="38"/>
      <c r="DF40" s="38"/>
      <c r="DG40" s="38"/>
      <c r="DH40" s="38"/>
      <c r="DI40" s="38"/>
      <c r="DJ40" s="38"/>
      <c r="DK40" s="38"/>
      <c r="DL40" s="38"/>
      <c r="DM40" s="38"/>
      <c r="DN40" s="38"/>
      <c r="DO40" s="38"/>
      <c r="DP40" s="38"/>
      <c r="DQ40" s="38"/>
      <c r="DR40" s="38"/>
      <c r="DS40" s="38"/>
      <c r="DT40" s="38"/>
      <c r="DU40" s="38"/>
      <c r="DV40" s="38"/>
      <c r="DW40" s="38"/>
      <c r="DX40" s="38"/>
      <c r="DY40" s="38"/>
      <c r="DZ40" s="38"/>
      <c r="EA40" s="38"/>
      <c r="EB40" s="38"/>
      <c r="EC40" s="38"/>
      <c r="ED40" s="38"/>
      <c r="EE40" s="38"/>
      <c r="EF40" s="38"/>
      <c r="EG40" s="38"/>
      <c r="EH40" s="38"/>
      <c r="EI40" s="38"/>
      <c r="EJ40" s="38"/>
      <c r="EK40" s="38"/>
      <c r="EL40" s="38"/>
      <c r="EM40" s="38"/>
      <c r="EN40" s="38"/>
      <c r="EO40" s="38"/>
      <c r="EP40" s="38"/>
      <c r="EQ40" s="38"/>
      <c r="ER40" s="38"/>
      <c r="ES40" s="38"/>
      <c r="ET40" s="38"/>
      <c r="EU40" s="38"/>
      <c r="EV40" s="38"/>
      <c r="EW40" s="38"/>
      <c r="EX40" s="38"/>
      <c r="EY40" s="38"/>
      <c r="EZ40" s="38"/>
      <c r="FA40" s="38"/>
      <c r="FB40" s="38"/>
      <c r="FC40" s="38"/>
      <c r="FD40" s="38"/>
      <c r="FE40" s="38"/>
      <c r="FF40" s="38"/>
      <c r="FG40" s="38"/>
      <c r="FH40" s="38"/>
      <c r="FI40" s="38"/>
      <c r="FJ40" s="38"/>
      <c r="FK40" s="38"/>
      <c r="FL40" s="38"/>
      <c r="FM40" s="38"/>
      <c r="FN40" s="38"/>
      <c r="FO40" s="38"/>
      <c r="FP40" s="38"/>
      <c r="FQ40" s="38"/>
      <c r="FR40" s="38"/>
      <c r="FS40" s="38"/>
      <c r="FT40" s="38"/>
      <c r="FU40" s="38"/>
      <c r="FV40" s="38"/>
      <c r="FW40" s="38"/>
      <c r="FX40" s="38"/>
      <c r="FY40" s="38"/>
      <c r="FZ40" s="38"/>
      <c r="GA40" s="38"/>
      <c r="GB40" s="38"/>
      <c r="GC40" s="38"/>
      <c r="GD40" s="38"/>
      <c r="GE40" s="38"/>
      <c r="GF40" s="38"/>
      <c r="GG40" s="38"/>
      <c r="GH40" s="38"/>
      <c r="GI40" s="38"/>
      <c r="GJ40" s="38"/>
      <c r="GK40" s="38"/>
      <c r="GL40" s="38"/>
      <c r="GM40" s="38"/>
      <c r="GN40" s="38"/>
      <c r="GO40" s="38"/>
      <c r="GP40" s="38"/>
      <c r="GQ40" s="38"/>
      <c r="GR40" s="38"/>
      <c r="GS40" s="38"/>
      <c r="GT40" s="38"/>
      <c r="GU40" s="38"/>
      <c r="GV40" s="38"/>
      <c r="GW40" s="38"/>
      <c r="GX40" s="38"/>
      <c r="GY40" s="38"/>
      <c r="GZ40" s="38"/>
      <c r="HA40" s="38"/>
      <c r="HB40" s="38"/>
      <c r="HC40" s="38"/>
      <c r="HD40" s="38"/>
      <c r="HE40" s="38"/>
      <c r="HF40" s="38"/>
      <c r="HG40" s="38"/>
      <c r="HH40" s="38"/>
      <c r="HI40" s="38"/>
      <c r="HJ40" s="38"/>
      <c r="HK40" s="38"/>
      <c r="HL40" s="38"/>
      <c r="HM40" s="38"/>
      <c r="HN40" s="38"/>
      <c r="HO40" s="38"/>
      <c r="HP40" s="38"/>
      <c r="HQ40" s="38"/>
      <c r="HR40" s="38"/>
      <c r="HS40" s="38"/>
      <c r="HT40" s="38"/>
      <c r="HU40" s="38"/>
      <c r="HV40" s="38"/>
      <c r="HW40" s="38"/>
      <c r="HX40" s="38"/>
      <c r="HY40" s="38"/>
      <c r="HZ40" s="38"/>
      <c r="IA40" s="38"/>
      <c r="IB40" s="38"/>
      <c r="IC40" s="38"/>
      <c r="ID40" s="38"/>
      <c r="IE40" s="38"/>
      <c r="IF40" s="38"/>
      <c r="IG40" s="38"/>
      <c r="IH40" s="38"/>
      <c r="II40" s="38"/>
      <c r="IJ40" s="38"/>
      <c r="IK40" s="38"/>
      <c r="IL40" s="38"/>
      <c r="IM40" s="38"/>
      <c r="IN40" s="38"/>
      <c r="IO40" s="38"/>
      <c r="IP40" s="38"/>
      <c r="IQ40" s="38"/>
      <c r="IR40" s="38"/>
      <c r="IS40" s="38"/>
      <c r="IT40" s="38"/>
      <c r="IU40" s="38"/>
    </row>
    <row r="41" spans="1:255" s="38" customFormat="1" ht="18.75" customHeight="1" x14ac:dyDescent="0.25">
      <c r="A41" s="64" t="s">
        <v>69</v>
      </c>
      <c r="B41" s="32">
        <v>33</v>
      </c>
      <c r="C41" s="30" t="s">
        <v>312</v>
      </c>
      <c r="D41" s="30" t="s">
        <v>313</v>
      </c>
      <c r="E41" s="84" t="s">
        <v>240</v>
      </c>
      <c r="F41" s="40" t="s">
        <v>243</v>
      </c>
      <c r="G41" s="33">
        <f>I41+K41+M41+O41+Q41+S41+U41+W41</f>
        <v>20</v>
      </c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0">
        <v>11</v>
      </c>
      <c r="U41" s="40">
        <f>(22-T41)</f>
        <v>11</v>
      </c>
      <c r="V41" s="40">
        <v>15</v>
      </c>
      <c r="W41" s="40">
        <f>(24-V41)</f>
        <v>9</v>
      </c>
      <c r="IR41" s="1"/>
      <c r="IS41" s="1"/>
      <c r="IT41" s="1"/>
      <c r="IU41" s="1"/>
    </row>
    <row r="42" spans="1:255" s="38" customFormat="1" ht="21.75" customHeight="1" x14ac:dyDescent="0.25">
      <c r="A42" s="64" t="s">
        <v>69</v>
      </c>
      <c r="B42" s="32">
        <v>34</v>
      </c>
      <c r="C42" s="30" t="s">
        <v>314</v>
      </c>
      <c r="D42" s="30" t="s">
        <v>315</v>
      </c>
      <c r="E42" s="84" t="s">
        <v>240</v>
      </c>
      <c r="F42" s="40" t="s">
        <v>246</v>
      </c>
      <c r="G42" s="33">
        <f t="shared" si="1"/>
        <v>20</v>
      </c>
      <c r="H42" s="40">
        <v>12</v>
      </c>
      <c r="I42" s="40">
        <f>(26-H42)</f>
        <v>14</v>
      </c>
      <c r="J42" s="40">
        <v>15</v>
      </c>
      <c r="K42" s="40">
        <f>(20-J42)</f>
        <v>5</v>
      </c>
      <c r="L42" s="47"/>
      <c r="M42" s="47"/>
      <c r="N42" s="47"/>
      <c r="O42" s="47"/>
      <c r="P42" s="47"/>
      <c r="Q42" s="47"/>
      <c r="R42" s="47"/>
      <c r="S42" s="35"/>
      <c r="T42" s="47"/>
      <c r="U42" s="47"/>
      <c r="V42" s="40">
        <v>23</v>
      </c>
      <c r="W42" s="40">
        <f>(24-V42)</f>
        <v>1</v>
      </c>
      <c r="X42" s="83"/>
      <c r="Y42" s="83"/>
    </row>
    <row r="43" spans="1:255" s="38" customFormat="1" ht="18.75" customHeight="1" x14ac:dyDescent="0.25">
      <c r="A43" s="64" t="s">
        <v>69</v>
      </c>
      <c r="B43" s="32">
        <v>35</v>
      </c>
      <c r="C43" s="30" t="s">
        <v>316</v>
      </c>
      <c r="D43" s="30" t="s">
        <v>317</v>
      </c>
      <c r="E43" s="84" t="s">
        <v>240</v>
      </c>
      <c r="F43" s="40" t="s">
        <v>246</v>
      </c>
      <c r="G43" s="33">
        <f t="shared" si="1"/>
        <v>19</v>
      </c>
      <c r="H43" s="47"/>
      <c r="I43" s="47"/>
      <c r="J43" s="47"/>
      <c r="K43" s="47"/>
      <c r="L43" s="47"/>
      <c r="M43" s="47"/>
      <c r="N43" s="40">
        <v>6</v>
      </c>
      <c r="O43" s="40">
        <f>10+(15-N43)</f>
        <v>19</v>
      </c>
      <c r="P43" s="47"/>
      <c r="Q43" s="47"/>
      <c r="R43" s="47"/>
      <c r="S43" s="35"/>
      <c r="T43" s="47"/>
      <c r="U43" s="47"/>
      <c r="V43" s="47"/>
      <c r="W43" s="47"/>
      <c r="IR43" s="1"/>
      <c r="IS43" s="1"/>
      <c r="IT43" s="1"/>
      <c r="IU43" s="1"/>
    </row>
    <row r="44" spans="1:255" ht="18" customHeight="1" x14ac:dyDescent="0.25">
      <c r="A44" s="64" t="s">
        <v>69</v>
      </c>
      <c r="B44" s="32">
        <v>36</v>
      </c>
      <c r="C44" s="30" t="s">
        <v>318</v>
      </c>
      <c r="D44" s="30" t="s">
        <v>319</v>
      </c>
      <c r="E44" s="84" t="s">
        <v>240</v>
      </c>
      <c r="F44" s="40" t="s">
        <v>246</v>
      </c>
      <c r="G44" s="33">
        <f t="shared" si="1"/>
        <v>14</v>
      </c>
      <c r="H44" s="47"/>
      <c r="I44" s="47"/>
      <c r="J44" s="47"/>
      <c r="K44" s="47"/>
      <c r="L44" s="47"/>
      <c r="M44" s="47"/>
      <c r="N44" s="47"/>
      <c r="O44" s="47"/>
      <c r="P44" s="40">
        <v>11</v>
      </c>
      <c r="Q44" s="40">
        <f>(25-P44)</f>
        <v>14</v>
      </c>
      <c r="R44" s="47"/>
      <c r="S44" s="35"/>
      <c r="T44" s="47"/>
      <c r="U44" s="47"/>
      <c r="V44" s="47"/>
      <c r="W44" s="47"/>
      <c r="IR44" s="38"/>
      <c r="IS44" s="38"/>
      <c r="IT44" s="38"/>
      <c r="IU44" s="38"/>
    </row>
    <row r="45" spans="1:255" ht="18.75" customHeight="1" x14ac:dyDescent="0.25">
      <c r="A45" s="64" t="s">
        <v>69</v>
      </c>
      <c r="B45" s="32">
        <v>37</v>
      </c>
      <c r="C45" s="30" t="s">
        <v>320</v>
      </c>
      <c r="D45" s="30" t="s">
        <v>321</v>
      </c>
      <c r="E45" s="84" t="s">
        <v>240</v>
      </c>
      <c r="F45" s="40" t="s">
        <v>246</v>
      </c>
      <c r="G45" s="33">
        <f t="shared" si="1"/>
        <v>13</v>
      </c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35"/>
      <c r="T45" s="47"/>
      <c r="U45" s="47"/>
      <c r="V45" s="40">
        <v>11</v>
      </c>
      <c r="W45" s="40">
        <f>(24-V45)</f>
        <v>13</v>
      </c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  <c r="BK45" s="38"/>
      <c r="BL45" s="38"/>
      <c r="BM45" s="38"/>
      <c r="BN45" s="38"/>
      <c r="BO45" s="38"/>
      <c r="BP45" s="38"/>
      <c r="BQ45" s="38"/>
      <c r="BR45" s="38"/>
      <c r="BS45" s="38"/>
      <c r="BT45" s="38"/>
      <c r="BU45" s="38"/>
      <c r="BV45" s="38"/>
      <c r="BW45" s="38"/>
      <c r="BX45" s="38"/>
      <c r="BY45" s="38"/>
      <c r="BZ45" s="38"/>
      <c r="CA45" s="38"/>
      <c r="CB45" s="38"/>
      <c r="CC45" s="38"/>
      <c r="CD45" s="38"/>
      <c r="CE45" s="38"/>
      <c r="CF45" s="38"/>
      <c r="CG45" s="38"/>
      <c r="CH45" s="38"/>
      <c r="CI45" s="38"/>
      <c r="CJ45" s="38"/>
      <c r="CK45" s="38"/>
      <c r="CL45" s="38"/>
      <c r="CM45" s="38"/>
      <c r="CN45" s="38"/>
      <c r="CO45" s="38"/>
      <c r="CP45" s="38"/>
      <c r="CQ45" s="38"/>
      <c r="CR45" s="38"/>
      <c r="CS45" s="38"/>
      <c r="CT45" s="38"/>
      <c r="CU45" s="38"/>
      <c r="CV45" s="38"/>
      <c r="CW45" s="38"/>
      <c r="CX45" s="38"/>
      <c r="CY45" s="38"/>
      <c r="CZ45" s="38"/>
      <c r="DA45" s="38"/>
      <c r="DB45" s="38"/>
      <c r="DC45" s="38"/>
      <c r="DD45" s="38"/>
      <c r="DE45" s="38"/>
      <c r="DF45" s="38"/>
      <c r="DG45" s="38"/>
      <c r="DH45" s="38"/>
      <c r="DI45" s="38"/>
      <c r="DJ45" s="38"/>
      <c r="DK45" s="38"/>
      <c r="DL45" s="38"/>
      <c r="DM45" s="38"/>
      <c r="DN45" s="38"/>
      <c r="DO45" s="38"/>
      <c r="DP45" s="38"/>
      <c r="DQ45" s="38"/>
      <c r="DR45" s="38"/>
      <c r="DS45" s="38"/>
      <c r="DT45" s="38"/>
      <c r="DU45" s="38"/>
      <c r="DV45" s="38"/>
      <c r="DW45" s="38"/>
      <c r="DX45" s="38"/>
      <c r="DY45" s="38"/>
      <c r="DZ45" s="38"/>
      <c r="EA45" s="38"/>
      <c r="EB45" s="38"/>
      <c r="EC45" s="38"/>
      <c r="ED45" s="38"/>
      <c r="EE45" s="38"/>
      <c r="EF45" s="38"/>
      <c r="EG45" s="38"/>
      <c r="EH45" s="38"/>
      <c r="EI45" s="38"/>
      <c r="EJ45" s="38"/>
      <c r="EK45" s="38"/>
      <c r="EL45" s="38"/>
      <c r="EM45" s="38"/>
      <c r="EN45" s="38"/>
      <c r="EO45" s="38"/>
      <c r="EP45" s="38"/>
      <c r="EQ45" s="38"/>
      <c r="ER45" s="38"/>
      <c r="ES45" s="38"/>
      <c r="ET45" s="38"/>
      <c r="EU45" s="38"/>
      <c r="EV45" s="38"/>
      <c r="EW45" s="38"/>
      <c r="EX45" s="38"/>
      <c r="EY45" s="38"/>
      <c r="EZ45" s="38"/>
      <c r="FA45" s="38"/>
      <c r="FB45" s="38"/>
      <c r="FC45" s="38"/>
      <c r="FD45" s="38"/>
      <c r="FE45" s="38"/>
      <c r="FF45" s="38"/>
      <c r="FG45" s="38"/>
      <c r="FH45" s="38"/>
      <c r="FI45" s="38"/>
      <c r="FJ45" s="38"/>
      <c r="FK45" s="38"/>
      <c r="FL45" s="38"/>
      <c r="FM45" s="38"/>
      <c r="FN45" s="38"/>
      <c r="FO45" s="38"/>
      <c r="FP45" s="38"/>
      <c r="FQ45" s="38"/>
      <c r="FR45" s="38"/>
      <c r="FS45" s="38"/>
      <c r="FT45" s="38"/>
      <c r="FU45" s="38"/>
      <c r="FV45" s="38"/>
      <c r="FW45" s="38"/>
      <c r="FX45" s="38"/>
      <c r="FY45" s="38"/>
      <c r="FZ45" s="38"/>
      <c r="GA45" s="38"/>
      <c r="GB45" s="38"/>
      <c r="GC45" s="38"/>
      <c r="GD45" s="38"/>
      <c r="GE45" s="38"/>
      <c r="GF45" s="38"/>
      <c r="GG45" s="38"/>
      <c r="GH45" s="38"/>
      <c r="GI45" s="38"/>
      <c r="GJ45" s="38"/>
      <c r="GK45" s="38"/>
      <c r="GL45" s="38"/>
      <c r="GM45" s="38"/>
      <c r="GN45" s="38"/>
      <c r="GO45" s="38"/>
      <c r="GP45" s="38"/>
      <c r="GQ45" s="38"/>
      <c r="GR45" s="38"/>
      <c r="GS45" s="38"/>
      <c r="GT45" s="38"/>
      <c r="GU45" s="38"/>
      <c r="GV45" s="38"/>
      <c r="GW45" s="38"/>
      <c r="GX45" s="38"/>
      <c r="GY45" s="38"/>
      <c r="GZ45" s="38"/>
      <c r="HA45" s="38"/>
      <c r="HB45" s="38"/>
      <c r="HC45" s="38"/>
      <c r="HD45" s="38"/>
      <c r="HE45" s="38"/>
      <c r="HF45" s="38"/>
      <c r="HG45" s="38"/>
      <c r="HH45" s="38"/>
      <c r="HI45" s="38"/>
      <c r="HJ45" s="38"/>
      <c r="HK45" s="38"/>
      <c r="HL45" s="38"/>
      <c r="HM45" s="38"/>
      <c r="HN45" s="38"/>
      <c r="HO45" s="38"/>
      <c r="HP45" s="38"/>
      <c r="HQ45" s="38"/>
      <c r="HR45" s="38"/>
      <c r="HS45" s="38"/>
      <c r="HT45" s="38"/>
      <c r="HU45" s="38"/>
      <c r="HV45" s="38"/>
      <c r="HW45" s="38"/>
      <c r="HX45" s="38"/>
      <c r="HY45" s="38"/>
      <c r="HZ45" s="38"/>
      <c r="IA45" s="38"/>
      <c r="IB45" s="38"/>
      <c r="IC45" s="38"/>
      <c r="ID45" s="38"/>
      <c r="IE45" s="38"/>
      <c r="IF45" s="38"/>
      <c r="IG45" s="38"/>
      <c r="IH45" s="38"/>
      <c r="II45" s="38"/>
      <c r="IJ45" s="38"/>
      <c r="IK45" s="38"/>
      <c r="IL45" s="38"/>
      <c r="IM45" s="38"/>
      <c r="IN45" s="38"/>
      <c r="IO45" s="38"/>
      <c r="IP45" s="38"/>
      <c r="IQ45" s="38"/>
      <c r="IR45" s="38"/>
      <c r="IS45" s="38"/>
      <c r="IT45" s="38"/>
      <c r="IU45" s="38"/>
    </row>
    <row r="46" spans="1:255" ht="18.75" customHeight="1" x14ac:dyDescent="0.25">
      <c r="A46" s="64" t="s">
        <v>69</v>
      </c>
      <c r="B46" s="32">
        <v>38</v>
      </c>
      <c r="C46" s="30" t="s">
        <v>322</v>
      </c>
      <c r="D46" s="30" t="s">
        <v>323</v>
      </c>
      <c r="E46" s="86" t="s">
        <v>240</v>
      </c>
      <c r="F46" s="40" t="s">
        <v>246</v>
      </c>
      <c r="G46" s="33">
        <f t="shared" si="1"/>
        <v>10</v>
      </c>
      <c r="H46" s="47"/>
      <c r="I46" s="47"/>
      <c r="J46" s="47"/>
      <c r="K46" s="47"/>
      <c r="L46" s="47"/>
      <c r="M46" s="47"/>
      <c r="N46" s="40">
        <v>9</v>
      </c>
      <c r="O46" s="40">
        <f>4+(15-N46)</f>
        <v>10</v>
      </c>
      <c r="P46" s="47"/>
      <c r="Q46" s="47"/>
      <c r="R46" s="47"/>
      <c r="S46" s="47"/>
      <c r="T46" s="47"/>
      <c r="U46" s="47"/>
      <c r="V46" s="47"/>
      <c r="W46" s="47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  <c r="BK46" s="38"/>
      <c r="BL46" s="38"/>
      <c r="BM46" s="38"/>
      <c r="BN46" s="38"/>
      <c r="BO46" s="38"/>
      <c r="BP46" s="38"/>
      <c r="BQ46" s="38"/>
      <c r="BR46" s="38"/>
      <c r="BS46" s="38"/>
      <c r="BT46" s="38"/>
      <c r="BU46" s="38"/>
      <c r="BV46" s="38"/>
      <c r="BW46" s="38"/>
      <c r="BX46" s="38"/>
      <c r="BY46" s="38"/>
      <c r="BZ46" s="38"/>
      <c r="CA46" s="38"/>
      <c r="CB46" s="38"/>
      <c r="CC46" s="38"/>
      <c r="CD46" s="38"/>
      <c r="CE46" s="38"/>
      <c r="CF46" s="38"/>
      <c r="CG46" s="38"/>
      <c r="CH46" s="38"/>
      <c r="CI46" s="38"/>
      <c r="CJ46" s="38"/>
      <c r="CK46" s="38"/>
      <c r="CL46" s="38"/>
      <c r="CM46" s="38"/>
      <c r="CN46" s="38"/>
      <c r="CO46" s="38"/>
      <c r="CP46" s="38"/>
      <c r="CQ46" s="38"/>
      <c r="CR46" s="38"/>
      <c r="CS46" s="38"/>
      <c r="CT46" s="38"/>
      <c r="CU46" s="38"/>
      <c r="CV46" s="38"/>
      <c r="CW46" s="38"/>
      <c r="CX46" s="38"/>
      <c r="CY46" s="38"/>
      <c r="CZ46" s="38"/>
      <c r="DA46" s="38"/>
      <c r="DB46" s="38"/>
      <c r="DC46" s="38"/>
      <c r="DD46" s="38"/>
      <c r="DE46" s="38"/>
      <c r="DF46" s="38"/>
      <c r="DG46" s="38"/>
      <c r="DH46" s="38"/>
      <c r="DI46" s="38"/>
      <c r="DJ46" s="38"/>
      <c r="DK46" s="38"/>
      <c r="DL46" s="38"/>
      <c r="DM46" s="38"/>
      <c r="DN46" s="38"/>
      <c r="DO46" s="38"/>
      <c r="DP46" s="38"/>
      <c r="DQ46" s="38"/>
      <c r="DR46" s="38"/>
      <c r="DS46" s="38"/>
      <c r="DT46" s="38"/>
      <c r="DU46" s="38"/>
      <c r="DV46" s="38"/>
      <c r="DW46" s="38"/>
      <c r="DX46" s="38"/>
      <c r="DY46" s="38"/>
      <c r="DZ46" s="38"/>
      <c r="EA46" s="38"/>
      <c r="EB46" s="38"/>
      <c r="EC46" s="38"/>
      <c r="ED46" s="38"/>
      <c r="EE46" s="38"/>
      <c r="EF46" s="38"/>
      <c r="EG46" s="38"/>
      <c r="EH46" s="38"/>
      <c r="EI46" s="38"/>
      <c r="EJ46" s="38"/>
      <c r="EK46" s="38"/>
      <c r="EL46" s="38"/>
      <c r="EM46" s="38"/>
      <c r="EN46" s="38"/>
      <c r="EO46" s="38"/>
      <c r="EP46" s="38"/>
      <c r="EQ46" s="38"/>
      <c r="ER46" s="38"/>
      <c r="ES46" s="38"/>
      <c r="ET46" s="38"/>
      <c r="EU46" s="38"/>
      <c r="EV46" s="38"/>
      <c r="EW46" s="38"/>
      <c r="EX46" s="38"/>
      <c r="EY46" s="38"/>
      <c r="EZ46" s="38"/>
      <c r="FA46" s="38"/>
      <c r="FB46" s="38"/>
      <c r="FC46" s="38"/>
      <c r="FD46" s="38"/>
      <c r="FE46" s="38"/>
      <c r="FF46" s="38"/>
      <c r="FG46" s="38"/>
      <c r="FH46" s="38"/>
      <c r="FI46" s="38"/>
      <c r="FJ46" s="38"/>
      <c r="FK46" s="38"/>
      <c r="FL46" s="38"/>
      <c r="FM46" s="38"/>
      <c r="FN46" s="38"/>
      <c r="FO46" s="38"/>
      <c r="FP46" s="38"/>
      <c r="FQ46" s="38"/>
      <c r="FR46" s="38"/>
      <c r="FS46" s="38"/>
      <c r="FT46" s="38"/>
      <c r="FU46" s="38"/>
      <c r="FV46" s="38"/>
      <c r="FW46" s="38"/>
      <c r="FX46" s="38"/>
      <c r="FY46" s="38"/>
      <c r="FZ46" s="38"/>
      <c r="GA46" s="38"/>
      <c r="GB46" s="38"/>
      <c r="GC46" s="38"/>
      <c r="GD46" s="38"/>
      <c r="GE46" s="38"/>
      <c r="GF46" s="38"/>
      <c r="GG46" s="38"/>
      <c r="GH46" s="38"/>
      <c r="GI46" s="38"/>
      <c r="GJ46" s="38"/>
      <c r="GK46" s="38"/>
      <c r="GL46" s="38"/>
      <c r="GM46" s="38"/>
      <c r="GN46" s="38"/>
      <c r="GO46" s="38"/>
      <c r="GP46" s="38"/>
      <c r="GQ46" s="38"/>
      <c r="GR46" s="38"/>
      <c r="GS46" s="38"/>
      <c r="GT46" s="38"/>
      <c r="GU46" s="38"/>
      <c r="GV46" s="38"/>
      <c r="GW46" s="38"/>
      <c r="GX46" s="38"/>
      <c r="GY46" s="38"/>
      <c r="GZ46" s="38"/>
      <c r="HA46" s="38"/>
      <c r="HB46" s="38"/>
      <c r="HC46" s="38"/>
      <c r="HD46" s="38"/>
      <c r="HE46" s="38"/>
      <c r="HF46" s="38"/>
      <c r="HG46" s="38"/>
      <c r="HH46" s="38"/>
      <c r="HI46" s="38"/>
      <c r="HJ46" s="38"/>
      <c r="HK46" s="38"/>
      <c r="HL46" s="38"/>
      <c r="HM46" s="38"/>
      <c r="HN46" s="38"/>
      <c r="HO46" s="38"/>
      <c r="HP46" s="38"/>
      <c r="HQ46" s="38"/>
      <c r="HR46" s="38"/>
      <c r="HS46" s="38"/>
      <c r="HT46" s="38"/>
      <c r="HU46" s="38"/>
      <c r="HV46" s="38"/>
      <c r="HW46" s="38"/>
      <c r="HX46" s="38"/>
      <c r="HY46" s="38"/>
      <c r="HZ46" s="38"/>
      <c r="IA46" s="38"/>
      <c r="IB46" s="38"/>
      <c r="IC46" s="38"/>
      <c r="ID46" s="38"/>
      <c r="IE46" s="38"/>
      <c r="IF46" s="38"/>
      <c r="IG46" s="38"/>
      <c r="IH46" s="38"/>
      <c r="II46" s="38"/>
      <c r="IJ46" s="38"/>
      <c r="IK46" s="38"/>
      <c r="IL46" s="38"/>
      <c r="IM46" s="38"/>
      <c r="IN46" s="38"/>
      <c r="IO46" s="38"/>
      <c r="IP46" s="38"/>
      <c r="IQ46" s="38"/>
    </row>
    <row r="47" spans="1:255" s="38" customFormat="1" ht="18.75" customHeight="1" x14ac:dyDescent="0.25">
      <c r="A47" s="64" t="s">
        <v>69</v>
      </c>
      <c r="B47" s="32">
        <v>39</v>
      </c>
      <c r="C47" s="30" t="s">
        <v>324</v>
      </c>
      <c r="D47" s="30" t="s">
        <v>325</v>
      </c>
      <c r="E47" s="84" t="s">
        <v>240</v>
      </c>
      <c r="F47" s="40" t="s">
        <v>246</v>
      </c>
      <c r="G47" s="33">
        <f t="shared" si="1"/>
        <v>9</v>
      </c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0">
        <v>13</v>
      </c>
      <c r="U47" s="40">
        <f>(22-T47)</f>
        <v>9</v>
      </c>
      <c r="V47" s="47"/>
      <c r="W47" s="47"/>
      <c r="IR47" s="1"/>
      <c r="IS47" s="1"/>
      <c r="IT47" s="1"/>
      <c r="IU47" s="1"/>
    </row>
    <row r="48" spans="1:255" s="38" customFormat="1" ht="18.75" customHeight="1" x14ac:dyDescent="0.25">
      <c r="A48" s="64" t="s">
        <v>69</v>
      </c>
      <c r="B48" s="32">
        <v>39</v>
      </c>
      <c r="C48" s="30" t="s">
        <v>326</v>
      </c>
      <c r="D48" s="30" t="s">
        <v>327</v>
      </c>
      <c r="E48" s="84" t="s">
        <v>240</v>
      </c>
      <c r="F48" s="79" t="s">
        <v>274</v>
      </c>
      <c r="G48" s="33">
        <f t="shared" si="1"/>
        <v>9</v>
      </c>
      <c r="H48" s="47"/>
      <c r="I48" s="47"/>
      <c r="J48" s="47"/>
      <c r="K48" s="47"/>
      <c r="L48" s="40">
        <v>16</v>
      </c>
      <c r="M48" s="40">
        <f>(25-L48)</f>
        <v>9</v>
      </c>
      <c r="N48" s="47"/>
      <c r="O48" s="47"/>
      <c r="P48" s="47"/>
      <c r="Q48" s="47"/>
      <c r="R48" s="47"/>
      <c r="S48" s="47"/>
      <c r="T48" s="47"/>
      <c r="U48" s="47"/>
      <c r="V48" s="47"/>
      <c r="W48" s="47"/>
    </row>
    <row r="49" spans="1:255" s="38" customFormat="1" ht="18.75" customHeight="1" x14ac:dyDescent="0.25">
      <c r="A49" s="87" t="s">
        <v>69</v>
      </c>
      <c r="B49" s="32">
        <v>41</v>
      </c>
      <c r="C49" s="30" t="s">
        <v>328</v>
      </c>
      <c r="D49" s="30" t="s">
        <v>329</v>
      </c>
      <c r="E49" s="84" t="s">
        <v>240</v>
      </c>
      <c r="F49" s="40" t="s">
        <v>246</v>
      </c>
      <c r="G49" s="33">
        <f t="shared" si="1"/>
        <v>9</v>
      </c>
      <c r="H49" s="47"/>
      <c r="I49" s="47"/>
      <c r="J49" s="47"/>
      <c r="K49" s="47"/>
      <c r="L49" s="47"/>
      <c r="M49" s="47"/>
      <c r="N49" s="40">
        <v>14</v>
      </c>
      <c r="O49" s="40">
        <f>(15-N49)</f>
        <v>1</v>
      </c>
      <c r="P49" s="40">
        <v>17</v>
      </c>
      <c r="Q49" s="40">
        <f>(25-P49)</f>
        <v>8</v>
      </c>
      <c r="R49" s="47"/>
      <c r="S49" s="35"/>
      <c r="T49" s="47"/>
      <c r="U49" s="47"/>
      <c r="V49" s="47"/>
      <c r="W49" s="47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</row>
    <row r="50" spans="1:255" s="38" customFormat="1" ht="16.5" customHeight="1" x14ac:dyDescent="0.25">
      <c r="A50" s="64" t="s">
        <v>69</v>
      </c>
      <c r="B50" s="32">
        <v>42</v>
      </c>
      <c r="C50" s="30" t="s">
        <v>330</v>
      </c>
      <c r="D50" s="30" t="s">
        <v>331</v>
      </c>
      <c r="E50" s="84" t="s">
        <v>240</v>
      </c>
      <c r="F50" s="40" t="s">
        <v>65</v>
      </c>
      <c r="G50" s="33">
        <f t="shared" si="1"/>
        <v>8</v>
      </c>
      <c r="H50" s="47"/>
      <c r="I50" s="47"/>
      <c r="J50" s="47"/>
      <c r="K50" s="47"/>
      <c r="L50" s="47"/>
      <c r="M50" s="47"/>
      <c r="N50" s="47"/>
      <c r="O50" s="47"/>
      <c r="P50" s="40">
        <v>17</v>
      </c>
      <c r="Q50" s="40">
        <f>(25-P50)</f>
        <v>8</v>
      </c>
      <c r="R50" s="47"/>
      <c r="S50" s="47"/>
      <c r="T50" s="47"/>
      <c r="U50" s="47"/>
      <c r="V50" s="47"/>
      <c r="W50" s="47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</row>
    <row r="51" spans="1:255" s="38" customFormat="1" ht="18.75" customHeight="1" x14ac:dyDescent="0.25">
      <c r="A51" s="64" t="s">
        <v>69</v>
      </c>
      <c r="B51" s="32">
        <v>43</v>
      </c>
      <c r="C51" s="30" t="s">
        <v>332</v>
      </c>
      <c r="D51" s="30" t="s">
        <v>333</v>
      </c>
      <c r="E51" s="84" t="s">
        <v>240</v>
      </c>
      <c r="F51" s="40" t="s">
        <v>246</v>
      </c>
      <c r="G51" s="33">
        <f t="shared" si="1"/>
        <v>7</v>
      </c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0">
        <v>17</v>
      </c>
      <c r="W51" s="40">
        <f>(24-V51)</f>
        <v>7</v>
      </c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</row>
    <row r="52" spans="1:255" ht="19.5" customHeight="1" x14ac:dyDescent="0.25">
      <c r="A52" s="64" t="s">
        <v>69</v>
      </c>
      <c r="B52" s="32">
        <v>44</v>
      </c>
      <c r="C52" s="30" t="s">
        <v>334</v>
      </c>
      <c r="D52" s="30" t="s">
        <v>335</v>
      </c>
      <c r="E52" s="84" t="s">
        <v>240</v>
      </c>
      <c r="F52" s="40" t="s">
        <v>246</v>
      </c>
      <c r="G52" s="33">
        <f t="shared" si="1"/>
        <v>7</v>
      </c>
      <c r="H52" s="47"/>
      <c r="I52" s="47"/>
      <c r="J52" s="47"/>
      <c r="K52" s="47"/>
      <c r="L52" s="47"/>
      <c r="M52" s="47"/>
      <c r="N52" s="40">
        <v>10</v>
      </c>
      <c r="O52" s="40">
        <f>2+(15-N52)</f>
        <v>7</v>
      </c>
      <c r="P52" s="47"/>
      <c r="Q52" s="47"/>
      <c r="R52" s="47"/>
      <c r="S52" s="47"/>
      <c r="T52" s="47"/>
      <c r="U52" s="47"/>
      <c r="V52" s="47"/>
      <c r="W52" s="47"/>
      <c r="IR52" s="38"/>
      <c r="IS52" s="38"/>
      <c r="IT52" s="38"/>
      <c r="IU52" s="38"/>
    </row>
    <row r="53" spans="1:255" s="38" customFormat="1" ht="18.75" customHeight="1" x14ac:dyDescent="0.25">
      <c r="A53" s="28" t="s">
        <v>73</v>
      </c>
      <c r="B53" s="32">
        <v>45</v>
      </c>
      <c r="C53" s="30" t="s">
        <v>336</v>
      </c>
      <c r="D53" s="30" t="s">
        <v>337</v>
      </c>
      <c r="E53" s="84" t="s">
        <v>240</v>
      </c>
      <c r="F53" s="40" t="s">
        <v>246</v>
      </c>
      <c r="G53" s="33">
        <f t="shared" si="1"/>
        <v>5</v>
      </c>
      <c r="H53" s="47"/>
      <c r="I53" s="47"/>
      <c r="J53" s="47"/>
      <c r="K53" s="47"/>
      <c r="L53" s="47"/>
      <c r="M53" s="47"/>
      <c r="N53" s="40">
        <v>13</v>
      </c>
      <c r="O53" s="40">
        <f>(15-N53)</f>
        <v>2</v>
      </c>
      <c r="P53" s="40">
        <v>22</v>
      </c>
      <c r="Q53" s="40">
        <f>(25-P53)</f>
        <v>3</v>
      </c>
      <c r="R53" s="47"/>
      <c r="S53" s="35"/>
      <c r="T53" s="47"/>
      <c r="U53" s="47"/>
      <c r="V53" s="47"/>
      <c r="W53" s="47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</row>
    <row r="54" spans="1:255" s="38" customFormat="1" ht="18.75" customHeight="1" x14ac:dyDescent="0.25">
      <c r="A54" s="64" t="s">
        <v>69</v>
      </c>
      <c r="B54" s="32">
        <v>46</v>
      </c>
      <c r="C54" s="30" t="s">
        <v>338</v>
      </c>
      <c r="D54" s="30" t="s">
        <v>339</v>
      </c>
      <c r="E54" s="86" t="s">
        <v>240</v>
      </c>
      <c r="F54" s="40" t="s">
        <v>65</v>
      </c>
      <c r="G54" s="33">
        <f t="shared" si="1"/>
        <v>4</v>
      </c>
      <c r="H54" s="40" t="s">
        <v>69</v>
      </c>
      <c r="I54" s="40">
        <v>0</v>
      </c>
      <c r="J54" s="40">
        <v>16</v>
      </c>
      <c r="K54" s="40">
        <f>(20-J54)</f>
        <v>4</v>
      </c>
      <c r="L54" s="47"/>
      <c r="M54" s="47"/>
      <c r="N54" s="47"/>
      <c r="O54" s="47"/>
      <c r="P54" s="47"/>
      <c r="Q54" s="47"/>
      <c r="R54" s="47"/>
      <c r="S54" s="35"/>
      <c r="T54" s="47"/>
      <c r="U54" s="47"/>
      <c r="V54" s="47"/>
      <c r="W54" s="47"/>
    </row>
    <row r="55" spans="1:255" ht="16.5" customHeight="1" x14ac:dyDescent="0.25">
      <c r="A55" s="64" t="s">
        <v>69</v>
      </c>
      <c r="B55" s="32">
        <v>47</v>
      </c>
      <c r="C55" s="30" t="s">
        <v>340</v>
      </c>
      <c r="D55" s="30" t="s">
        <v>341</v>
      </c>
      <c r="E55" s="84" t="s">
        <v>240</v>
      </c>
      <c r="F55" s="40" t="s">
        <v>65</v>
      </c>
      <c r="G55" s="33">
        <f t="shared" si="1"/>
        <v>3</v>
      </c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35"/>
      <c r="T55" s="47"/>
      <c r="U55" s="47"/>
      <c r="V55" s="40">
        <v>21</v>
      </c>
      <c r="W55" s="40">
        <f>(24-V55)</f>
        <v>3</v>
      </c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38"/>
      <c r="BO55" s="38"/>
      <c r="BP55" s="38"/>
      <c r="BQ55" s="38"/>
      <c r="BR55" s="38"/>
      <c r="BS55" s="38"/>
      <c r="BT55" s="38"/>
      <c r="BU55" s="38"/>
      <c r="BV55" s="38"/>
      <c r="BW55" s="38"/>
      <c r="BX55" s="38"/>
      <c r="BY55" s="38"/>
      <c r="BZ55" s="38"/>
      <c r="CA55" s="38"/>
      <c r="CB55" s="38"/>
      <c r="CC55" s="38"/>
      <c r="CD55" s="38"/>
      <c r="CE55" s="38"/>
      <c r="CF55" s="38"/>
      <c r="CG55" s="38"/>
      <c r="CH55" s="38"/>
      <c r="CI55" s="38"/>
      <c r="CJ55" s="38"/>
      <c r="CK55" s="38"/>
      <c r="CL55" s="38"/>
      <c r="CM55" s="38"/>
      <c r="CN55" s="38"/>
      <c r="CO55" s="38"/>
      <c r="CP55" s="38"/>
      <c r="CQ55" s="38"/>
      <c r="CR55" s="38"/>
      <c r="CS55" s="38"/>
      <c r="CT55" s="38"/>
      <c r="CU55" s="38"/>
      <c r="CV55" s="38"/>
      <c r="CW55" s="38"/>
      <c r="CX55" s="38"/>
      <c r="CY55" s="38"/>
      <c r="CZ55" s="38"/>
      <c r="DA55" s="38"/>
      <c r="DB55" s="38"/>
      <c r="DC55" s="38"/>
      <c r="DD55" s="38"/>
      <c r="DE55" s="38"/>
      <c r="DF55" s="38"/>
      <c r="DG55" s="38"/>
      <c r="DH55" s="38"/>
      <c r="DI55" s="38"/>
      <c r="DJ55" s="38"/>
      <c r="DK55" s="38"/>
      <c r="DL55" s="38"/>
      <c r="DM55" s="38"/>
      <c r="DN55" s="38"/>
      <c r="DO55" s="38"/>
      <c r="DP55" s="38"/>
      <c r="DQ55" s="38"/>
      <c r="DR55" s="38"/>
      <c r="DS55" s="38"/>
      <c r="DT55" s="38"/>
      <c r="DU55" s="38"/>
      <c r="DV55" s="38"/>
      <c r="DW55" s="38"/>
      <c r="DX55" s="38"/>
      <c r="DY55" s="38"/>
      <c r="DZ55" s="38"/>
      <c r="EA55" s="38"/>
      <c r="EB55" s="38"/>
      <c r="EC55" s="38"/>
      <c r="ED55" s="38"/>
      <c r="EE55" s="38"/>
      <c r="EF55" s="38"/>
      <c r="EG55" s="38"/>
      <c r="EH55" s="38"/>
      <c r="EI55" s="38"/>
      <c r="EJ55" s="38"/>
      <c r="EK55" s="38"/>
      <c r="EL55" s="38"/>
      <c r="EM55" s="38"/>
      <c r="EN55" s="38"/>
      <c r="EO55" s="38"/>
      <c r="EP55" s="38"/>
      <c r="EQ55" s="38"/>
      <c r="ER55" s="38"/>
      <c r="ES55" s="38"/>
      <c r="ET55" s="38"/>
      <c r="EU55" s="38"/>
      <c r="EV55" s="38"/>
      <c r="EW55" s="38"/>
      <c r="EX55" s="38"/>
      <c r="EY55" s="38"/>
      <c r="EZ55" s="38"/>
      <c r="FA55" s="38"/>
      <c r="FB55" s="38"/>
      <c r="FC55" s="38"/>
      <c r="FD55" s="38"/>
      <c r="FE55" s="38"/>
      <c r="FF55" s="38"/>
      <c r="FG55" s="38"/>
      <c r="FH55" s="38"/>
      <c r="FI55" s="38"/>
      <c r="FJ55" s="38"/>
      <c r="FK55" s="38"/>
      <c r="FL55" s="38"/>
      <c r="FM55" s="38"/>
      <c r="FN55" s="38"/>
      <c r="FO55" s="38"/>
      <c r="FP55" s="38"/>
      <c r="FQ55" s="38"/>
      <c r="FR55" s="38"/>
      <c r="FS55" s="38"/>
      <c r="FT55" s="38"/>
      <c r="FU55" s="38"/>
      <c r="FV55" s="38"/>
      <c r="FW55" s="38"/>
      <c r="FX55" s="38"/>
      <c r="FY55" s="38"/>
      <c r="FZ55" s="38"/>
      <c r="GA55" s="38"/>
      <c r="GB55" s="38"/>
      <c r="GC55" s="38"/>
      <c r="GD55" s="38"/>
      <c r="GE55" s="38"/>
      <c r="GF55" s="38"/>
      <c r="GG55" s="38"/>
      <c r="GH55" s="38"/>
      <c r="GI55" s="38"/>
      <c r="GJ55" s="38"/>
      <c r="GK55" s="38"/>
      <c r="GL55" s="38"/>
      <c r="GM55" s="38"/>
      <c r="GN55" s="38"/>
      <c r="GO55" s="38"/>
      <c r="GP55" s="38"/>
      <c r="GQ55" s="38"/>
      <c r="GR55" s="38"/>
      <c r="GS55" s="38"/>
      <c r="GT55" s="38"/>
      <c r="GU55" s="38"/>
      <c r="GV55" s="38"/>
      <c r="GW55" s="38"/>
      <c r="GX55" s="38"/>
      <c r="GY55" s="38"/>
      <c r="GZ55" s="38"/>
      <c r="HA55" s="38"/>
      <c r="HB55" s="38"/>
      <c r="HC55" s="38"/>
      <c r="HD55" s="38"/>
      <c r="HE55" s="38"/>
      <c r="HF55" s="38"/>
      <c r="HG55" s="38"/>
      <c r="HH55" s="38"/>
      <c r="HI55" s="38"/>
      <c r="HJ55" s="38"/>
      <c r="HK55" s="38"/>
      <c r="HL55" s="38"/>
      <c r="HM55" s="38"/>
      <c r="HN55" s="38"/>
      <c r="HO55" s="38"/>
      <c r="HP55" s="38"/>
      <c r="HQ55" s="38"/>
      <c r="HR55" s="38"/>
      <c r="HS55" s="38"/>
      <c r="HT55" s="38"/>
      <c r="HU55" s="38"/>
      <c r="HV55" s="38"/>
      <c r="HW55" s="38"/>
      <c r="HX55" s="38"/>
      <c r="HY55" s="38"/>
      <c r="HZ55" s="38"/>
      <c r="IA55" s="38"/>
      <c r="IB55" s="38"/>
      <c r="IC55" s="38"/>
      <c r="ID55" s="38"/>
      <c r="IE55" s="38"/>
      <c r="IF55" s="38"/>
      <c r="IG55" s="38"/>
      <c r="IH55" s="38"/>
      <c r="II55" s="38"/>
      <c r="IJ55" s="38"/>
      <c r="IK55" s="38"/>
      <c r="IL55" s="38"/>
      <c r="IM55" s="38"/>
      <c r="IN55" s="38"/>
      <c r="IO55" s="38"/>
      <c r="IP55" s="38"/>
      <c r="IQ55" s="38"/>
      <c r="IR55" s="38"/>
      <c r="IS55" s="38"/>
      <c r="IT55" s="38"/>
      <c r="IU55" s="38"/>
    </row>
    <row r="56" spans="1:255" ht="18.75" customHeight="1" x14ac:dyDescent="0.25">
      <c r="A56" s="64" t="s">
        <v>69</v>
      </c>
      <c r="B56" s="32">
        <v>47</v>
      </c>
      <c r="C56" s="30" t="s">
        <v>342</v>
      </c>
      <c r="D56" s="30" t="s">
        <v>343</v>
      </c>
      <c r="E56" s="88" t="s">
        <v>240</v>
      </c>
      <c r="F56" s="40" t="s">
        <v>246</v>
      </c>
      <c r="G56" s="33">
        <f t="shared" si="1"/>
        <v>3</v>
      </c>
      <c r="H56" s="47"/>
      <c r="I56" s="47"/>
      <c r="J56" s="47"/>
      <c r="K56" s="47"/>
      <c r="L56" s="47"/>
      <c r="M56" s="47"/>
      <c r="N56" s="40">
        <v>12</v>
      </c>
      <c r="O56" s="40">
        <f>(15-N56)</f>
        <v>3</v>
      </c>
      <c r="P56" s="47"/>
      <c r="Q56" s="47"/>
      <c r="R56" s="47"/>
      <c r="S56" s="35"/>
      <c r="T56" s="47"/>
      <c r="U56" s="47"/>
      <c r="V56" s="47"/>
      <c r="W56" s="47"/>
    </row>
    <row r="57" spans="1:255" s="38" customFormat="1" ht="18.75" customHeight="1" x14ac:dyDescent="0.25">
      <c r="A57" s="64" t="s">
        <v>69</v>
      </c>
      <c r="B57" s="32">
        <v>47</v>
      </c>
      <c r="C57" s="30" t="s">
        <v>344</v>
      </c>
      <c r="D57" s="30" t="s">
        <v>345</v>
      </c>
      <c r="E57" s="86" t="s">
        <v>240</v>
      </c>
      <c r="F57" s="40" t="s">
        <v>246</v>
      </c>
      <c r="G57" s="33">
        <f>I57+K57+M57+O57+Q57+S57+U57+W57</f>
        <v>3</v>
      </c>
      <c r="H57" s="47"/>
      <c r="I57" s="47"/>
      <c r="J57" s="47"/>
      <c r="K57" s="47"/>
      <c r="L57" s="40">
        <v>22</v>
      </c>
      <c r="M57" s="40">
        <f>(25-L57)</f>
        <v>3</v>
      </c>
      <c r="N57" s="47"/>
      <c r="O57" s="47"/>
      <c r="P57" s="47"/>
      <c r="Q57" s="47"/>
      <c r="R57" s="47"/>
      <c r="S57" s="35"/>
      <c r="T57" s="47"/>
      <c r="U57" s="47"/>
      <c r="V57" s="40" t="s">
        <v>69</v>
      </c>
      <c r="W57" s="40">
        <v>0</v>
      </c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</row>
    <row r="58" spans="1:255" s="38" customFormat="1" ht="18.75" customHeight="1" x14ac:dyDescent="0.25">
      <c r="A58" s="64" t="s">
        <v>69</v>
      </c>
      <c r="B58" s="32">
        <v>50</v>
      </c>
      <c r="C58" s="30" t="s">
        <v>346</v>
      </c>
      <c r="D58" s="30" t="s">
        <v>347</v>
      </c>
      <c r="E58" s="88" t="s">
        <v>240</v>
      </c>
      <c r="F58" s="40" t="s">
        <v>348</v>
      </c>
      <c r="G58" s="33">
        <f t="shared" si="1"/>
        <v>3</v>
      </c>
      <c r="H58" s="47"/>
      <c r="I58" s="47"/>
      <c r="J58" s="47"/>
      <c r="K58" s="47"/>
      <c r="L58" s="40">
        <v>24</v>
      </c>
      <c r="M58" s="40">
        <f>(25-L58)</f>
        <v>1</v>
      </c>
      <c r="N58" s="47"/>
      <c r="O58" s="47"/>
      <c r="P58" s="47"/>
      <c r="Q58" s="47"/>
      <c r="R58" s="47"/>
      <c r="S58" s="35"/>
      <c r="T58" s="40">
        <v>20</v>
      </c>
      <c r="U58" s="40">
        <f>(22-T58)</f>
        <v>2</v>
      </c>
      <c r="V58" s="47"/>
      <c r="W58" s="47"/>
    </row>
    <row r="59" spans="1:255" s="38" customFormat="1" ht="18.75" customHeight="1" x14ac:dyDescent="0.25">
      <c r="A59" s="64" t="s">
        <v>69</v>
      </c>
      <c r="B59" s="32">
        <v>51</v>
      </c>
      <c r="C59" s="30" t="s">
        <v>349</v>
      </c>
      <c r="D59" s="30" t="s">
        <v>350</v>
      </c>
      <c r="E59" s="86" t="s">
        <v>240</v>
      </c>
      <c r="F59" s="40" t="s">
        <v>246</v>
      </c>
      <c r="G59" s="33">
        <f t="shared" si="1"/>
        <v>1</v>
      </c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0">
        <v>21</v>
      </c>
      <c r="U59" s="40">
        <f>(22-T59)</f>
        <v>1</v>
      </c>
      <c r="V59" s="47"/>
      <c r="W59" s="47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</row>
    <row r="60" spans="1:255" x14ac:dyDescent="0.2">
      <c r="B60" s="51" t="s">
        <v>100</v>
      </c>
    </row>
    <row r="80" spans="2:2" x14ac:dyDescent="0.2">
      <c r="B80" s="51"/>
    </row>
    <row r="99" spans="2:2" x14ac:dyDescent="0.2">
      <c r="B99" s="51" t="s">
        <v>351</v>
      </c>
    </row>
  </sheetData>
  <autoFilter ref="B8:IQ96" xr:uid="{00000000-0009-0000-0000-000005000000}"/>
  <mergeCells count="18">
    <mergeCell ref="T6:U6"/>
    <mergeCell ref="V6:W6"/>
    <mergeCell ref="H6:I6"/>
    <mergeCell ref="J6:K6"/>
    <mergeCell ref="L6:M6"/>
    <mergeCell ref="N6:O6"/>
    <mergeCell ref="P6:Q6"/>
    <mergeCell ref="R6:S6"/>
    <mergeCell ref="B1:E1"/>
    <mergeCell ref="B2:E5"/>
    <mergeCell ref="G2:M2"/>
    <mergeCell ref="G3:G4"/>
    <mergeCell ref="H3:H4"/>
    <mergeCell ref="I3:I4"/>
    <mergeCell ref="J3:J4"/>
    <mergeCell ref="K3:K4"/>
    <mergeCell ref="L3:L4"/>
    <mergeCell ref="M3:M4"/>
  </mergeCells>
  <pageMargins left="0.74803149606299213" right="0.74803149606299213" top="0.98425196850393704" bottom="0.98425196850393704" header="0.51181102362204722" footer="0.51181102362204722"/>
  <pageSetup paperSize="9" scale="36" fitToHeight="0" orientation="landscape" horizontalDpi="4294967294" verticalDpi="300" r:id="rId1"/>
  <headerFooter alignWithMargins="0">
    <oddHeader>&amp;CPoänglista Whippet Tikar Internationell klass 2106</oddHeader>
    <oddFooter>&amp;Ccopyright Marie Eriksson 3 December 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07DF0-7AF7-47E0-88E4-8E3D4152A3B8}">
  <sheetPr>
    <pageSetUpPr fitToPage="1"/>
  </sheetPr>
  <dimension ref="A1:HX34"/>
  <sheetViews>
    <sheetView zoomScaleNormal="100" workbookViewId="0">
      <selection activeCell="B21" sqref="B21"/>
    </sheetView>
  </sheetViews>
  <sheetFormatPr defaultColWidth="8" defaultRowHeight="12.75" x14ac:dyDescent="0.25"/>
  <cols>
    <col min="1" max="1" width="12.28515625" style="1" customWidth="1"/>
    <col min="2" max="2" width="13.140625" style="3" customWidth="1"/>
    <col min="3" max="3" width="11.7109375" style="52" customWidth="1"/>
    <col min="4" max="4" width="29.42578125" style="1" customWidth="1"/>
    <col min="5" max="5" width="9.42578125" style="53" customWidth="1"/>
    <col min="6" max="6" width="9.140625" style="53" bestFit="1" customWidth="1"/>
    <col min="7" max="7" width="10.5703125" style="3" customWidth="1"/>
    <col min="8" max="8" width="13.5703125" style="3" customWidth="1"/>
    <col min="9" max="9" width="14" style="3" customWidth="1"/>
    <col min="10" max="10" width="12.85546875" style="53" customWidth="1"/>
    <col min="11" max="11" width="11.5703125" style="53" customWidth="1"/>
    <col min="12" max="12" width="14.5703125" style="54" customWidth="1"/>
    <col min="13" max="13" width="13.7109375" style="54" customWidth="1"/>
    <col min="14" max="14" width="12.85546875" style="3" customWidth="1"/>
    <col min="15" max="15" width="11.28515625" style="3" customWidth="1"/>
    <col min="16" max="16" width="13.7109375" style="1" customWidth="1"/>
    <col min="17" max="17" width="11.28515625" style="1" customWidth="1"/>
    <col min="18" max="18" width="12.85546875" style="3" customWidth="1"/>
    <col min="19" max="19" width="11.28515625" style="1" customWidth="1"/>
    <col min="20" max="20" width="12.85546875" style="1" customWidth="1"/>
    <col min="21" max="21" width="11.28515625" style="1" customWidth="1"/>
    <col min="22" max="23" width="12.7109375" style="1" customWidth="1"/>
    <col min="24" max="16384" width="8" style="1"/>
  </cols>
  <sheetData>
    <row r="1" spans="1:232" ht="43.5" customHeight="1" x14ac:dyDescent="0.25">
      <c r="B1" s="96" t="s">
        <v>0</v>
      </c>
      <c r="C1" s="97"/>
      <c r="D1" s="97"/>
      <c r="E1" s="97"/>
      <c r="F1" s="2"/>
      <c r="G1" s="98" t="s">
        <v>1</v>
      </c>
      <c r="H1" s="98"/>
      <c r="I1" s="98"/>
      <c r="J1" s="98"/>
      <c r="K1" s="98"/>
      <c r="L1" s="98"/>
      <c r="M1" s="98"/>
    </row>
    <row r="2" spans="1:232" ht="35.25" customHeight="1" x14ac:dyDescent="0.25">
      <c r="B2" s="99" t="s">
        <v>2</v>
      </c>
      <c r="C2" s="100"/>
      <c r="D2" s="100"/>
      <c r="E2" s="100"/>
      <c r="F2" s="4"/>
      <c r="G2" s="101" t="s">
        <v>3</v>
      </c>
      <c r="H2" s="101"/>
      <c r="I2" s="101"/>
      <c r="J2" s="101"/>
      <c r="K2" s="101"/>
      <c r="L2" s="101"/>
      <c r="M2" s="101"/>
    </row>
    <row r="3" spans="1:232" ht="12.75" customHeight="1" x14ac:dyDescent="0.25">
      <c r="B3" s="100"/>
      <c r="C3" s="100"/>
      <c r="D3" s="100"/>
      <c r="E3" s="100"/>
      <c r="F3" s="4"/>
      <c r="G3" s="102" t="s">
        <v>4</v>
      </c>
      <c r="H3" s="103" t="s">
        <v>5</v>
      </c>
      <c r="I3" s="104" t="s">
        <v>6</v>
      </c>
      <c r="J3" s="105" t="s">
        <v>7</v>
      </c>
      <c r="K3" s="106" t="s">
        <v>8</v>
      </c>
      <c r="L3" s="107" t="s">
        <v>9</v>
      </c>
      <c r="M3" s="94" t="s">
        <v>10</v>
      </c>
    </row>
    <row r="4" spans="1:232" ht="24" customHeight="1" x14ac:dyDescent="0.25">
      <c r="B4" s="100"/>
      <c r="C4" s="100"/>
      <c r="D4" s="100"/>
      <c r="E4" s="100"/>
      <c r="F4" s="4"/>
      <c r="G4" s="102"/>
      <c r="H4" s="103"/>
      <c r="I4" s="104"/>
      <c r="J4" s="105"/>
      <c r="K4" s="106"/>
      <c r="L4" s="107"/>
      <c r="M4" s="94"/>
    </row>
    <row r="5" spans="1:232" s="5" customFormat="1" ht="19.5" customHeight="1" x14ac:dyDescent="0.25">
      <c r="B5" s="100"/>
      <c r="C5" s="100"/>
      <c r="D5" s="100"/>
      <c r="E5" s="100"/>
      <c r="F5" s="4"/>
      <c r="G5" s="6"/>
      <c r="H5" s="7"/>
      <c r="I5" s="7"/>
      <c r="J5" s="8"/>
      <c r="K5" s="8"/>
      <c r="L5" s="9"/>
      <c r="M5" s="9"/>
      <c r="N5" s="7"/>
      <c r="O5" s="7"/>
      <c r="R5" s="7"/>
    </row>
    <row r="6" spans="1:232" s="5" customFormat="1" ht="46.5" customHeight="1" x14ac:dyDescent="0.25">
      <c r="B6" s="10"/>
      <c r="C6" s="10"/>
      <c r="D6" s="11" t="s">
        <v>11</v>
      </c>
      <c r="E6" s="12"/>
      <c r="F6" s="11"/>
      <c r="G6" s="13"/>
      <c r="H6" s="92" t="s">
        <v>12</v>
      </c>
      <c r="I6" s="93"/>
      <c r="J6" s="92" t="s">
        <v>12</v>
      </c>
      <c r="K6" s="95"/>
      <c r="L6" s="92" t="s">
        <v>13</v>
      </c>
      <c r="M6" s="93"/>
      <c r="N6" s="92" t="s">
        <v>14</v>
      </c>
      <c r="O6" s="93"/>
      <c r="P6" s="92" t="s">
        <v>15</v>
      </c>
      <c r="Q6" s="93"/>
      <c r="R6" s="92" t="s">
        <v>16</v>
      </c>
      <c r="S6" s="93"/>
      <c r="T6" s="92" t="s">
        <v>17</v>
      </c>
      <c r="U6" s="93"/>
      <c r="V6" s="92" t="s">
        <v>18</v>
      </c>
      <c r="W6" s="93"/>
    </row>
    <row r="7" spans="1:232" s="5" customFormat="1" x14ac:dyDescent="0.25">
      <c r="A7" s="14" t="s">
        <v>19</v>
      </c>
      <c r="B7" s="14" t="s">
        <v>20</v>
      </c>
      <c r="C7" s="15" t="s">
        <v>21</v>
      </c>
      <c r="D7" s="16"/>
      <c r="E7" s="17"/>
      <c r="F7" s="17" t="s">
        <v>22</v>
      </c>
      <c r="G7" s="18" t="s">
        <v>23</v>
      </c>
      <c r="H7" s="19">
        <v>43197</v>
      </c>
      <c r="I7" s="20" t="s">
        <v>24</v>
      </c>
      <c r="J7" s="19">
        <v>43204</v>
      </c>
      <c r="K7" s="20" t="s">
        <v>25</v>
      </c>
      <c r="L7" s="19">
        <v>43232</v>
      </c>
      <c r="M7" s="20" t="s">
        <v>26</v>
      </c>
      <c r="N7" s="19">
        <v>43260</v>
      </c>
      <c r="O7" s="20" t="s">
        <v>27</v>
      </c>
      <c r="P7" s="19">
        <v>43296</v>
      </c>
      <c r="Q7" s="20" t="s">
        <v>28</v>
      </c>
      <c r="R7" s="19">
        <v>43358</v>
      </c>
      <c r="S7" s="20" t="s">
        <v>29</v>
      </c>
      <c r="T7" s="19">
        <v>43372</v>
      </c>
      <c r="U7" s="20" t="s">
        <v>25</v>
      </c>
      <c r="V7" s="19">
        <v>43380</v>
      </c>
      <c r="W7" s="20" t="s">
        <v>27</v>
      </c>
    </row>
    <row r="8" spans="1:232" s="27" customFormat="1" x14ac:dyDescent="0.25">
      <c r="A8" s="21" t="s">
        <v>30</v>
      </c>
      <c r="B8" s="21" t="s">
        <v>31</v>
      </c>
      <c r="C8" s="22" t="s">
        <v>32</v>
      </c>
      <c r="D8" s="23" t="s">
        <v>33</v>
      </c>
      <c r="E8" s="24" t="s">
        <v>34</v>
      </c>
      <c r="F8" s="25" t="s">
        <v>35</v>
      </c>
      <c r="G8" s="25" t="s">
        <v>36</v>
      </c>
      <c r="H8" s="26" t="s">
        <v>31</v>
      </c>
      <c r="I8" s="26" t="s">
        <v>37</v>
      </c>
      <c r="J8" s="26" t="s">
        <v>31</v>
      </c>
      <c r="K8" s="26" t="s">
        <v>37</v>
      </c>
      <c r="L8" s="26" t="s">
        <v>31</v>
      </c>
      <c r="M8" s="26" t="s">
        <v>37</v>
      </c>
      <c r="N8" s="26" t="s">
        <v>31</v>
      </c>
      <c r="O8" s="26" t="s">
        <v>37</v>
      </c>
      <c r="P8" s="26" t="s">
        <v>31</v>
      </c>
      <c r="Q8" s="26" t="s">
        <v>37</v>
      </c>
      <c r="R8" s="26" t="s">
        <v>31</v>
      </c>
      <c r="S8" s="26" t="s">
        <v>37</v>
      </c>
      <c r="T8" s="26" t="s">
        <v>31</v>
      </c>
      <c r="U8" s="26" t="s">
        <v>37</v>
      </c>
      <c r="V8" s="26" t="s">
        <v>31</v>
      </c>
      <c r="W8" s="26" t="s">
        <v>37</v>
      </c>
    </row>
    <row r="9" spans="1:232" ht="19.5" customHeight="1" x14ac:dyDescent="0.25">
      <c r="A9" s="28" t="s">
        <v>38</v>
      </c>
      <c r="B9" s="28">
        <v>1</v>
      </c>
      <c r="C9" s="29" t="s">
        <v>39</v>
      </c>
      <c r="D9" s="30" t="s">
        <v>40</v>
      </c>
      <c r="E9" s="31" t="s">
        <v>41</v>
      </c>
      <c r="F9" s="32" t="s">
        <v>42</v>
      </c>
      <c r="G9" s="33">
        <f>I9+K9+M9+O9+Q9+S9+U9+W9-U9</f>
        <v>144</v>
      </c>
      <c r="H9" s="34">
        <v>5</v>
      </c>
      <c r="I9" s="28">
        <f>12+(19-H9)</f>
        <v>26</v>
      </c>
      <c r="J9" s="34">
        <v>4</v>
      </c>
      <c r="K9" s="28">
        <f>14+(16-J9)</f>
        <v>26</v>
      </c>
      <c r="L9" s="31">
        <v>1</v>
      </c>
      <c r="M9" s="28">
        <f>20+(10-L9)</f>
        <v>29</v>
      </c>
      <c r="N9" s="35"/>
      <c r="O9" s="35"/>
      <c r="P9" s="31">
        <v>1</v>
      </c>
      <c r="Q9" s="28">
        <f>20+(13-P9)</f>
        <v>32</v>
      </c>
      <c r="R9" s="35"/>
      <c r="S9" s="35"/>
      <c r="T9" s="31">
        <v>9</v>
      </c>
      <c r="U9" s="36">
        <f>4+(16-T9)</f>
        <v>11</v>
      </c>
      <c r="V9" s="37">
        <v>2</v>
      </c>
      <c r="W9" s="28">
        <f>18+(15-V9)</f>
        <v>31</v>
      </c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R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C9" s="38"/>
      <c r="ED9" s="38"/>
      <c r="EE9" s="38"/>
      <c r="EF9" s="38"/>
      <c r="EG9" s="38"/>
      <c r="EH9" s="38"/>
      <c r="EI9" s="38"/>
      <c r="EJ9" s="38"/>
      <c r="EK9" s="38"/>
      <c r="EL9" s="38"/>
      <c r="EM9" s="38"/>
      <c r="EN9" s="38"/>
      <c r="EO9" s="38"/>
      <c r="EP9" s="38"/>
      <c r="EQ9" s="38"/>
      <c r="ER9" s="38"/>
      <c r="ES9" s="38"/>
      <c r="ET9" s="38"/>
      <c r="EU9" s="38"/>
      <c r="EV9" s="38"/>
      <c r="EW9" s="38"/>
      <c r="EX9" s="38"/>
      <c r="EY9" s="38"/>
      <c r="EZ9" s="38"/>
      <c r="FA9" s="38"/>
      <c r="FB9" s="38"/>
      <c r="FC9" s="38"/>
      <c r="FD9" s="38"/>
      <c r="FE9" s="38"/>
      <c r="FF9" s="38"/>
      <c r="FG9" s="38"/>
      <c r="FH9" s="38"/>
      <c r="FI9" s="38"/>
      <c r="FJ9" s="38"/>
      <c r="FK9" s="38"/>
      <c r="FL9" s="38"/>
      <c r="FM9" s="38"/>
      <c r="FN9" s="38"/>
      <c r="FO9" s="38"/>
      <c r="FP9" s="38"/>
      <c r="FQ9" s="38"/>
      <c r="FR9" s="38"/>
      <c r="FS9" s="38"/>
      <c r="FT9" s="38"/>
      <c r="FU9" s="38"/>
      <c r="FV9" s="38"/>
      <c r="FW9" s="38"/>
      <c r="FX9" s="38"/>
      <c r="FY9" s="38"/>
      <c r="FZ9" s="38"/>
      <c r="GA9" s="38"/>
      <c r="GB9" s="38"/>
      <c r="GC9" s="38"/>
      <c r="GD9" s="38"/>
      <c r="GE9" s="38"/>
      <c r="GF9" s="38"/>
      <c r="GG9" s="38"/>
      <c r="GH9" s="38"/>
      <c r="GI9" s="38"/>
      <c r="GJ9" s="38"/>
      <c r="GK9" s="38"/>
      <c r="GL9" s="38"/>
      <c r="GM9" s="38"/>
      <c r="GN9" s="38"/>
      <c r="GO9" s="38"/>
      <c r="GP9" s="38"/>
      <c r="GQ9" s="38"/>
      <c r="GR9" s="38"/>
      <c r="GS9" s="38"/>
      <c r="GT9" s="38"/>
      <c r="GU9" s="38"/>
      <c r="GV9" s="38"/>
      <c r="GW9" s="38"/>
      <c r="GX9" s="38"/>
      <c r="GY9" s="38"/>
      <c r="GZ9" s="38"/>
      <c r="HA9" s="38"/>
      <c r="HB9" s="38"/>
      <c r="HC9" s="38"/>
      <c r="HD9" s="38"/>
      <c r="HE9" s="38"/>
      <c r="HF9" s="38"/>
      <c r="HG9" s="38"/>
      <c r="HH9" s="38"/>
      <c r="HI9" s="38"/>
      <c r="HJ9" s="38"/>
      <c r="HK9" s="38"/>
      <c r="HL9" s="38"/>
      <c r="HM9" s="38"/>
      <c r="HN9" s="38"/>
      <c r="HO9" s="38"/>
      <c r="HP9" s="38"/>
      <c r="HQ9" s="38"/>
      <c r="HR9" s="38"/>
      <c r="HS9" s="38"/>
      <c r="HT9" s="38"/>
      <c r="HU9" s="38"/>
      <c r="HV9" s="38"/>
      <c r="HW9" s="38"/>
      <c r="HX9" s="38"/>
    </row>
    <row r="10" spans="1:232" s="38" customFormat="1" ht="19.5" customHeight="1" x14ac:dyDescent="0.25">
      <c r="A10" s="28" t="s">
        <v>43</v>
      </c>
      <c r="B10" s="28">
        <v>2</v>
      </c>
      <c r="C10" s="29" t="s">
        <v>44</v>
      </c>
      <c r="D10" s="30" t="s">
        <v>45</v>
      </c>
      <c r="E10" s="39" t="s">
        <v>41</v>
      </c>
      <c r="F10" s="28" t="s">
        <v>46</v>
      </c>
      <c r="G10" s="33">
        <f>I10+K10+M10+O10+Q10+S10+U10+W10</f>
        <v>117</v>
      </c>
      <c r="H10" s="40">
        <v>10</v>
      </c>
      <c r="I10" s="28">
        <f>2+(19-H10)</f>
        <v>11</v>
      </c>
      <c r="J10" s="35"/>
      <c r="K10" s="35"/>
      <c r="L10" s="31">
        <v>2</v>
      </c>
      <c r="M10" s="28">
        <f>18+(10-L10)</f>
        <v>26</v>
      </c>
      <c r="N10" s="41"/>
      <c r="O10" s="35"/>
      <c r="P10" s="28">
        <v>6</v>
      </c>
      <c r="Q10" s="28">
        <f>10+(13-P10)</f>
        <v>17</v>
      </c>
      <c r="R10" s="35"/>
      <c r="S10" s="35"/>
      <c r="T10" s="31">
        <v>3</v>
      </c>
      <c r="U10" s="28">
        <f>16+(16-T10)</f>
        <v>29</v>
      </c>
      <c r="V10" s="42">
        <v>1</v>
      </c>
      <c r="W10" s="28">
        <f>20+(15-V10)</f>
        <v>34</v>
      </c>
    </row>
    <row r="11" spans="1:232" ht="19.5" customHeight="1" x14ac:dyDescent="0.25">
      <c r="A11" s="28" t="s">
        <v>47</v>
      </c>
      <c r="B11" s="28">
        <v>3</v>
      </c>
      <c r="C11" s="29" t="s">
        <v>48</v>
      </c>
      <c r="D11" s="30" t="s">
        <v>49</v>
      </c>
      <c r="E11" s="43" t="s">
        <v>41</v>
      </c>
      <c r="F11" s="28" t="s">
        <v>46</v>
      </c>
      <c r="G11" s="33">
        <f>I11+K11+M11+O11+Q11+S11+U11+W11-K11-M11-Q11</f>
        <v>109</v>
      </c>
      <c r="H11" s="34">
        <v>3</v>
      </c>
      <c r="I11" s="28">
        <f>16+(19-H11)</f>
        <v>32</v>
      </c>
      <c r="J11" s="28">
        <v>14</v>
      </c>
      <c r="K11" s="44">
        <f>(16-J11)</f>
        <v>2</v>
      </c>
      <c r="L11" s="28">
        <v>10</v>
      </c>
      <c r="M11" s="44">
        <f>2+(10-L11)</f>
        <v>2</v>
      </c>
      <c r="N11" s="28">
        <v>7</v>
      </c>
      <c r="O11" s="28">
        <f>8+(15-N11)</f>
        <v>16</v>
      </c>
      <c r="P11" s="28">
        <v>8</v>
      </c>
      <c r="Q11" s="36">
        <f>6+(13-P11)</f>
        <v>11</v>
      </c>
      <c r="R11" s="28">
        <v>5</v>
      </c>
      <c r="S11" s="28">
        <f>12+(9-R11)</f>
        <v>16</v>
      </c>
      <c r="T11" s="45">
        <v>5</v>
      </c>
      <c r="U11" s="28">
        <f>12+(16-T11)</f>
        <v>23</v>
      </c>
      <c r="V11" s="31">
        <v>5</v>
      </c>
      <c r="W11" s="28">
        <f>12+(15-V11)</f>
        <v>22</v>
      </c>
      <c r="HU11" s="38"/>
      <c r="HV11" s="38"/>
      <c r="HW11" s="38"/>
      <c r="HX11" s="38"/>
    </row>
    <row r="12" spans="1:232" s="38" customFormat="1" ht="19.5" customHeight="1" x14ac:dyDescent="0.25">
      <c r="A12" s="28" t="s">
        <v>50</v>
      </c>
      <c r="B12" s="28">
        <v>4</v>
      </c>
      <c r="C12" s="29" t="s">
        <v>51</v>
      </c>
      <c r="D12" s="30" t="s">
        <v>52</v>
      </c>
      <c r="E12" s="45" t="s">
        <v>41</v>
      </c>
      <c r="F12" s="28" t="s">
        <v>46</v>
      </c>
      <c r="G12" s="33">
        <f>I12+K12+M12+O12+Q12+S12+U12+W12</f>
        <v>108</v>
      </c>
      <c r="H12" s="43">
        <v>1</v>
      </c>
      <c r="I12" s="28">
        <f>20+(19-H12)</f>
        <v>38</v>
      </c>
      <c r="J12" s="31">
        <v>1</v>
      </c>
      <c r="K12" s="28">
        <f>20+(16-J12)</f>
        <v>35</v>
      </c>
      <c r="L12" s="35"/>
      <c r="M12" s="35"/>
      <c r="N12" s="35"/>
      <c r="O12" s="35"/>
      <c r="P12" s="35"/>
      <c r="Q12" s="35"/>
      <c r="R12" s="35"/>
      <c r="S12" s="35"/>
      <c r="T12" s="31">
        <v>1</v>
      </c>
      <c r="U12" s="28">
        <f>20+(16-T12)</f>
        <v>35</v>
      </c>
      <c r="V12" s="35"/>
      <c r="W12" s="35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U12" s="1"/>
      <c r="HV12" s="1"/>
      <c r="HW12" s="1"/>
      <c r="HX12" s="1"/>
    </row>
    <row r="13" spans="1:232" ht="24" customHeight="1" x14ac:dyDescent="0.25">
      <c r="A13" s="28" t="s">
        <v>53</v>
      </c>
      <c r="B13" s="28">
        <v>5</v>
      </c>
      <c r="C13" s="29" t="s">
        <v>54</v>
      </c>
      <c r="D13" s="29" t="s">
        <v>55</v>
      </c>
      <c r="E13" s="34" t="s">
        <v>41</v>
      </c>
      <c r="F13" s="28" t="s">
        <v>46</v>
      </c>
      <c r="G13" s="33">
        <f>I13+K13+M13+O13+Q13+S13+U13+W13</f>
        <v>108</v>
      </c>
      <c r="H13" s="28">
        <v>9</v>
      </c>
      <c r="I13" s="28">
        <f>4+(19-H13)</f>
        <v>14</v>
      </c>
      <c r="J13" s="31">
        <v>2</v>
      </c>
      <c r="K13" s="28">
        <f>18+(16-J13)</f>
        <v>32</v>
      </c>
      <c r="L13" s="35"/>
      <c r="M13" s="35"/>
      <c r="N13" s="41"/>
      <c r="O13" s="35"/>
      <c r="P13" s="28">
        <v>6</v>
      </c>
      <c r="Q13" s="28">
        <f>10+(13-P13)</f>
        <v>17</v>
      </c>
      <c r="R13" s="35"/>
      <c r="S13" s="35"/>
      <c r="T13" s="31">
        <v>4</v>
      </c>
      <c r="U13" s="28">
        <f>14+(16-T13)</f>
        <v>26</v>
      </c>
      <c r="V13" s="31">
        <v>6</v>
      </c>
      <c r="W13" s="28">
        <f>10+(15-V13)</f>
        <v>19</v>
      </c>
    </row>
    <row r="14" spans="1:232" s="38" customFormat="1" ht="18.75" customHeight="1" x14ac:dyDescent="0.25">
      <c r="A14" s="28" t="s">
        <v>56</v>
      </c>
      <c r="B14" s="28">
        <v>6</v>
      </c>
      <c r="C14" s="29" t="s">
        <v>57</v>
      </c>
      <c r="D14" s="30" t="s">
        <v>58</v>
      </c>
      <c r="E14" s="46" t="s">
        <v>41</v>
      </c>
      <c r="F14" s="28" t="s">
        <v>46</v>
      </c>
      <c r="G14" s="33">
        <f>I14+K14+M14+O14+Q14+S14+U14+W14-I14</f>
        <v>105</v>
      </c>
      <c r="H14" s="40">
        <v>10</v>
      </c>
      <c r="I14" s="36">
        <f>2+(19-H14)</f>
        <v>11</v>
      </c>
      <c r="J14" s="40">
        <v>8</v>
      </c>
      <c r="K14" s="28">
        <f>6+(16-J14)</f>
        <v>14</v>
      </c>
      <c r="L14" s="31">
        <v>3</v>
      </c>
      <c r="M14" s="28">
        <f>16+(10-L14)</f>
        <v>23</v>
      </c>
      <c r="N14" s="35"/>
      <c r="O14" s="35"/>
      <c r="P14" s="45">
        <v>5</v>
      </c>
      <c r="Q14" s="28">
        <f>12+(13-P14)</f>
        <v>20</v>
      </c>
      <c r="R14" s="35"/>
      <c r="S14" s="35"/>
      <c r="T14" s="31">
        <v>5</v>
      </c>
      <c r="U14" s="28">
        <f>12+(16-T14)</f>
        <v>23</v>
      </c>
      <c r="V14" s="31">
        <v>4</v>
      </c>
      <c r="W14" s="28">
        <f>14+(15-V14)</f>
        <v>25</v>
      </c>
    </row>
    <row r="15" spans="1:232" s="38" customFormat="1" ht="18.75" customHeight="1" x14ac:dyDescent="0.25">
      <c r="A15" s="28" t="s">
        <v>59</v>
      </c>
      <c r="B15" s="28">
        <v>7</v>
      </c>
      <c r="C15" s="29" t="s">
        <v>60</v>
      </c>
      <c r="D15" s="30" t="s">
        <v>61</v>
      </c>
      <c r="E15" s="31" t="s">
        <v>41</v>
      </c>
      <c r="F15" s="28" t="s">
        <v>46</v>
      </c>
      <c r="G15" s="33">
        <f>I15+K15+M15+O15+Q15+S15+U15+W15-W15</f>
        <v>99</v>
      </c>
      <c r="H15" s="40">
        <v>12</v>
      </c>
      <c r="I15" s="28">
        <f>(19-H15)</f>
        <v>7</v>
      </c>
      <c r="J15" s="31">
        <v>3</v>
      </c>
      <c r="K15" s="28">
        <f>16+(16-J15)</f>
        <v>29</v>
      </c>
      <c r="L15" s="31">
        <v>5</v>
      </c>
      <c r="M15" s="28">
        <f>12+(10-L15)</f>
        <v>17</v>
      </c>
      <c r="N15" s="35"/>
      <c r="O15" s="35"/>
      <c r="P15" s="31">
        <v>2</v>
      </c>
      <c r="Q15" s="28">
        <f>18+(13-P15)</f>
        <v>29</v>
      </c>
      <c r="R15" s="35"/>
      <c r="S15" s="35"/>
      <c r="T15" s="31">
        <v>7</v>
      </c>
      <c r="U15" s="28">
        <f>8+(16-T15)</f>
        <v>17</v>
      </c>
      <c r="V15" s="28">
        <v>10</v>
      </c>
      <c r="W15" s="44">
        <f>2+(15-V15)</f>
        <v>7</v>
      </c>
      <c r="HT15" s="1"/>
      <c r="HU15" s="1"/>
      <c r="HV15" s="1"/>
      <c r="HW15" s="1"/>
      <c r="HX15" s="1"/>
    </row>
    <row r="16" spans="1:232" s="38" customFormat="1" ht="19.5" customHeight="1" x14ac:dyDescent="0.25">
      <c r="A16" s="28" t="s">
        <v>62</v>
      </c>
      <c r="B16" s="28">
        <v>8</v>
      </c>
      <c r="C16" s="29" t="s">
        <v>63</v>
      </c>
      <c r="D16" s="30" t="s">
        <v>64</v>
      </c>
      <c r="E16" s="39" t="s">
        <v>41</v>
      </c>
      <c r="F16" s="28" t="s">
        <v>65</v>
      </c>
      <c r="G16" s="33">
        <f>I16+K16+M16+O16+Q16+S16+U16+W16-Q16</f>
        <v>81</v>
      </c>
      <c r="H16" s="34">
        <v>3</v>
      </c>
      <c r="I16" s="28">
        <f>16+(19-H16)</f>
        <v>32</v>
      </c>
      <c r="J16" s="28">
        <v>10</v>
      </c>
      <c r="K16" s="28">
        <f>2+(16-J16)</f>
        <v>8</v>
      </c>
      <c r="L16" s="31">
        <v>7</v>
      </c>
      <c r="M16" s="28">
        <f>8+(10-L16)</f>
        <v>11</v>
      </c>
      <c r="N16" s="41"/>
      <c r="O16" s="35"/>
      <c r="P16" s="28">
        <v>12</v>
      </c>
      <c r="Q16" s="36">
        <f>(13-P16)</f>
        <v>1</v>
      </c>
      <c r="R16" s="47"/>
      <c r="S16" s="35"/>
      <c r="T16" s="31">
        <v>7</v>
      </c>
      <c r="U16" s="28">
        <f>8+(16-T16)</f>
        <v>17</v>
      </c>
      <c r="V16" s="31">
        <v>8</v>
      </c>
      <c r="W16" s="28">
        <f>6+(15-V16)</f>
        <v>13</v>
      </c>
    </row>
    <row r="17" spans="1:232" s="38" customFormat="1" ht="19.5" customHeight="1" x14ac:dyDescent="0.25">
      <c r="A17" s="28" t="s">
        <v>66</v>
      </c>
      <c r="B17" s="28">
        <v>9</v>
      </c>
      <c r="C17" s="29" t="s">
        <v>67</v>
      </c>
      <c r="D17" s="30" t="s">
        <v>68</v>
      </c>
      <c r="E17" s="45" t="s">
        <v>41</v>
      </c>
      <c r="F17" s="28" t="s">
        <v>46</v>
      </c>
      <c r="G17" s="33">
        <f>I17+K17+M17+O17+Q17+S17+U17+W17</f>
        <v>77</v>
      </c>
      <c r="H17" s="40">
        <v>14</v>
      </c>
      <c r="I17" s="28">
        <f>(19-H17)</f>
        <v>5</v>
      </c>
      <c r="J17" s="43">
        <v>4</v>
      </c>
      <c r="K17" s="28">
        <f>14+(16-J17)</f>
        <v>26</v>
      </c>
      <c r="L17" s="31">
        <v>6</v>
      </c>
      <c r="M17" s="28">
        <f>10+(10-L17)</f>
        <v>14</v>
      </c>
      <c r="N17" s="35"/>
      <c r="O17" s="35"/>
      <c r="P17" s="35"/>
      <c r="Q17" s="35"/>
      <c r="R17" s="35"/>
      <c r="S17" s="35"/>
      <c r="T17" s="31">
        <v>2</v>
      </c>
      <c r="U17" s="28">
        <f>18+(16-T17)</f>
        <v>32</v>
      </c>
      <c r="V17" s="28" t="s">
        <v>69</v>
      </c>
      <c r="W17" s="28">
        <v>0</v>
      </c>
    </row>
    <row r="18" spans="1:232" s="38" customFormat="1" ht="19.5" customHeight="1" x14ac:dyDescent="0.25">
      <c r="A18" s="28" t="s">
        <v>70</v>
      </c>
      <c r="B18" s="28">
        <v>10</v>
      </c>
      <c r="C18" s="29" t="s">
        <v>71</v>
      </c>
      <c r="D18" s="29" t="s">
        <v>72</v>
      </c>
      <c r="E18" s="34" t="s">
        <v>41</v>
      </c>
      <c r="F18" s="28" t="s">
        <v>46</v>
      </c>
      <c r="G18" s="33">
        <f>I18+K18+M18+O18+Q18+S18+U18+W18</f>
        <v>68</v>
      </c>
      <c r="H18" s="28">
        <v>7</v>
      </c>
      <c r="I18" s="28">
        <f>8+(19-H18)</f>
        <v>20</v>
      </c>
      <c r="J18" s="31">
        <v>6</v>
      </c>
      <c r="K18" s="28">
        <f>10+(16-J18)</f>
        <v>20</v>
      </c>
      <c r="L18" s="35"/>
      <c r="M18" s="35"/>
      <c r="N18" s="41"/>
      <c r="O18" s="35"/>
      <c r="P18" s="35"/>
      <c r="Q18" s="35"/>
      <c r="R18" s="35"/>
      <c r="S18" s="35"/>
      <c r="T18" s="35"/>
      <c r="U18" s="35"/>
      <c r="V18" s="31">
        <v>3</v>
      </c>
      <c r="W18" s="28">
        <f>16+(15-V18)</f>
        <v>28</v>
      </c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</row>
    <row r="19" spans="1:232" s="38" customFormat="1" ht="19.5" customHeight="1" x14ac:dyDescent="0.25">
      <c r="A19" s="28" t="s">
        <v>73</v>
      </c>
      <c r="B19" s="28">
        <v>11</v>
      </c>
      <c r="C19" s="29" t="s">
        <v>74</v>
      </c>
      <c r="D19" s="29" t="s">
        <v>75</v>
      </c>
      <c r="E19" s="34" t="s">
        <v>41</v>
      </c>
      <c r="F19" s="28" t="s">
        <v>46</v>
      </c>
      <c r="G19" s="33">
        <f>I19+K19+M19+O19+Q19+S19+U19+W19</f>
        <v>36</v>
      </c>
      <c r="H19" s="35"/>
      <c r="I19" s="35"/>
      <c r="J19" s="35"/>
      <c r="K19" s="35"/>
      <c r="L19" s="31">
        <v>4</v>
      </c>
      <c r="M19" s="28">
        <f>14+(10-L19)</f>
        <v>20</v>
      </c>
      <c r="N19" s="41"/>
      <c r="O19" s="35"/>
      <c r="P19" s="28">
        <v>13</v>
      </c>
      <c r="Q19" s="28">
        <f>(13-P19)</f>
        <v>0</v>
      </c>
      <c r="R19" s="35"/>
      <c r="S19" s="35"/>
      <c r="T19" s="35"/>
      <c r="U19" s="35"/>
      <c r="V19" s="31">
        <v>7</v>
      </c>
      <c r="W19" s="28">
        <f>8+(15-V19)</f>
        <v>16</v>
      </c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</row>
    <row r="20" spans="1:232" s="38" customFormat="1" ht="19.5" customHeight="1" x14ac:dyDescent="0.25">
      <c r="A20" s="28" t="s">
        <v>76</v>
      </c>
      <c r="B20" s="28">
        <v>12</v>
      </c>
      <c r="C20" s="29" t="s">
        <v>80</v>
      </c>
      <c r="D20" s="30" t="s">
        <v>81</v>
      </c>
      <c r="E20" s="45" t="s">
        <v>41</v>
      </c>
      <c r="F20" s="28" t="s">
        <v>82</v>
      </c>
      <c r="G20" s="33">
        <f>I20+K20+M20+O20+Q20+S20+U20+W20</f>
        <v>29</v>
      </c>
      <c r="H20" s="35"/>
      <c r="I20" s="35"/>
      <c r="J20" s="35"/>
      <c r="K20" s="35"/>
      <c r="L20" s="35"/>
      <c r="M20" s="35"/>
      <c r="N20" s="35"/>
      <c r="O20" s="35"/>
      <c r="P20" s="45">
        <v>2</v>
      </c>
      <c r="Q20" s="28">
        <f>18+(13-P20)</f>
        <v>29</v>
      </c>
      <c r="R20" s="35"/>
      <c r="S20" s="35"/>
      <c r="T20" s="35"/>
      <c r="U20" s="35"/>
      <c r="V20" s="35"/>
      <c r="W20" s="35"/>
      <c r="HT20" s="1"/>
    </row>
    <row r="21" spans="1:232" s="38" customFormat="1" ht="19.5" customHeight="1" x14ac:dyDescent="0.25">
      <c r="A21" s="28" t="s">
        <v>79</v>
      </c>
      <c r="B21" s="40">
        <v>13</v>
      </c>
      <c r="C21" s="29" t="s">
        <v>77</v>
      </c>
      <c r="D21" s="30" t="s">
        <v>78</v>
      </c>
      <c r="E21" s="48" t="s">
        <v>41</v>
      </c>
      <c r="F21" s="28" t="s">
        <v>46</v>
      </c>
      <c r="G21" s="33">
        <f>I21+K21+M21+O21+Q21+S21+U21+W21-K21-W21</f>
        <v>27</v>
      </c>
      <c r="H21" s="28">
        <v>15</v>
      </c>
      <c r="I21" s="28">
        <f>(19-H21)</f>
        <v>4</v>
      </c>
      <c r="J21" s="40">
        <v>15</v>
      </c>
      <c r="K21" s="36">
        <f>(16-J21)</f>
        <v>1</v>
      </c>
      <c r="L21" s="31">
        <v>8</v>
      </c>
      <c r="M21" s="28">
        <f>6+(10-L21)</f>
        <v>8</v>
      </c>
      <c r="N21" s="28">
        <v>11</v>
      </c>
      <c r="O21" s="28">
        <f>15-N21</f>
        <v>4</v>
      </c>
      <c r="P21" s="35"/>
      <c r="Q21" s="35"/>
      <c r="R21" s="28">
        <v>8</v>
      </c>
      <c r="S21" s="28">
        <f>6+(9-R21)</f>
        <v>7</v>
      </c>
      <c r="T21" s="28">
        <v>12</v>
      </c>
      <c r="U21" s="28">
        <f>(16-T21)</f>
        <v>4</v>
      </c>
      <c r="V21" s="28">
        <v>12</v>
      </c>
      <c r="W21" s="36">
        <f>(15-V21)</f>
        <v>3</v>
      </c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  <c r="FF21" s="27"/>
      <c r="FG21" s="27"/>
      <c r="FH21" s="27"/>
      <c r="FI21" s="27"/>
      <c r="FJ21" s="27"/>
      <c r="FK21" s="27"/>
      <c r="FL21" s="27"/>
      <c r="FM21" s="27"/>
      <c r="FN21" s="27"/>
      <c r="FO21" s="27"/>
      <c r="FP21" s="27"/>
      <c r="FQ21" s="27"/>
      <c r="FR21" s="27"/>
      <c r="FS21" s="27"/>
      <c r="FT21" s="27"/>
      <c r="FU21" s="27"/>
      <c r="FV21" s="27"/>
      <c r="FW21" s="27"/>
      <c r="FX21" s="27"/>
      <c r="FY21" s="27"/>
      <c r="FZ21" s="27"/>
      <c r="GA21" s="27"/>
      <c r="GB21" s="27"/>
      <c r="GC21" s="27"/>
      <c r="GD21" s="27"/>
      <c r="GE21" s="27"/>
      <c r="GF21" s="27"/>
      <c r="GG21" s="27"/>
      <c r="GH21" s="27"/>
      <c r="GI21" s="27"/>
      <c r="GJ21" s="27"/>
      <c r="GK21" s="27"/>
      <c r="GL21" s="27"/>
      <c r="GM21" s="27"/>
      <c r="GN21" s="27"/>
      <c r="GO21" s="27"/>
      <c r="GP21" s="27"/>
      <c r="GQ21" s="27"/>
      <c r="GR21" s="27"/>
      <c r="GS21" s="27"/>
      <c r="GT21" s="27"/>
      <c r="GU21" s="27"/>
      <c r="GV21" s="27"/>
      <c r="GW21" s="27"/>
      <c r="GX21" s="27"/>
      <c r="GY21" s="27"/>
      <c r="GZ21" s="27"/>
      <c r="HA21" s="27"/>
      <c r="HB21" s="27"/>
      <c r="HC21" s="27"/>
      <c r="HD21" s="27"/>
      <c r="HE21" s="27"/>
      <c r="HF21" s="27"/>
      <c r="HG21" s="27"/>
      <c r="HH21" s="27"/>
      <c r="HI21" s="27"/>
      <c r="HJ21" s="27"/>
      <c r="HK21" s="27"/>
      <c r="HL21" s="27"/>
      <c r="HM21" s="27"/>
      <c r="HN21" s="27"/>
      <c r="HO21" s="27"/>
      <c r="HP21" s="27"/>
      <c r="HQ21" s="27"/>
      <c r="HR21" s="27"/>
      <c r="HS21" s="27"/>
    </row>
    <row r="22" spans="1:232" s="38" customFormat="1" ht="19.5" customHeight="1" x14ac:dyDescent="0.25">
      <c r="A22" s="28" t="s">
        <v>83</v>
      </c>
      <c r="B22" s="28">
        <v>14</v>
      </c>
      <c r="C22" s="29" t="s">
        <v>84</v>
      </c>
      <c r="D22" s="30" t="s">
        <v>85</v>
      </c>
      <c r="E22" s="31" t="s">
        <v>41</v>
      </c>
      <c r="F22" s="28" t="s">
        <v>46</v>
      </c>
      <c r="G22" s="33">
        <f t="shared" ref="G22:G27" si="0">I22+K22+M22+O22+Q22+S22+U22+W22</f>
        <v>23</v>
      </c>
      <c r="H22" s="35"/>
      <c r="I22" s="35"/>
      <c r="J22" s="35"/>
      <c r="K22" s="35"/>
      <c r="L22" s="35"/>
      <c r="M22" s="35"/>
      <c r="N22" s="35"/>
      <c r="O22" s="35"/>
      <c r="P22" s="31">
        <v>4</v>
      </c>
      <c r="Q22" s="28">
        <f>14+(13-P22)</f>
        <v>23</v>
      </c>
      <c r="R22" s="35"/>
      <c r="S22" s="35"/>
      <c r="T22" s="28">
        <v>16</v>
      </c>
      <c r="U22" s="28">
        <f>(16-T22)</f>
        <v>0</v>
      </c>
      <c r="V22" s="35"/>
      <c r="W22" s="35"/>
    </row>
    <row r="23" spans="1:232" s="38" customFormat="1" ht="19.5" customHeight="1" x14ac:dyDescent="0.25">
      <c r="A23" s="28" t="s">
        <v>86</v>
      </c>
      <c r="B23" s="28">
        <v>15</v>
      </c>
      <c r="C23" s="29" t="s">
        <v>87</v>
      </c>
      <c r="D23" s="30" t="s">
        <v>88</v>
      </c>
      <c r="E23" s="28" t="s">
        <v>41</v>
      </c>
      <c r="F23" s="28" t="s">
        <v>46</v>
      </c>
      <c r="G23" s="33">
        <f>I23+K23+M23+Q23+S23+U23+W23</f>
        <v>18</v>
      </c>
      <c r="H23" s="35"/>
      <c r="I23" s="35"/>
      <c r="J23" s="35"/>
      <c r="K23" s="35"/>
      <c r="L23" s="35"/>
      <c r="M23" s="35"/>
      <c r="N23" s="35"/>
      <c r="O23" s="49" t="s">
        <v>89</v>
      </c>
      <c r="P23" s="28">
        <v>10</v>
      </c>
      <c r="Q23" s="28">
        <f>2+(13-P23)</f>
        <v>5</v>
      </c>
      <c r="R23" s="28">
        <v>6</v>
      </c>
      <c r="S23" s="28">
        <f>10+(9-R23)</f>
        <v>13</v>
      </c>
      <c r="T23" s="35"/>
      <c r="U23" s="35"/>
      <c r="V23" s="35"/>
      <c r="W23" s="35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</row>
    <row r="24" spans="1:232" s="38" customFormat="1" ht="19.5" customHeight="1" x14ac:dyDescent="0.25">
      <c r="A24" s="28" t="s">
        <v>69</v>
      </c>
      <c r="B24" s="28">
        <v>16</v>
      </c>
      <c r="C24" s="29" t="s">
        <v>90</v>
      </c>
      <c r="D24" s="30" t="s">
        <v>91</v>
      </c>
      <c r="E24" s="50" t="s">
        <v>41</v>
      </c>
      <c r="F24" s="28" t="s">
        <v>46</v>
      </c>
      <c r="G24" s="33">
        <f t="shared" si="0"/>
        <v>15</v>
      </c>
      <c r="H24" s="40">
        <v>19</v>
      </c>
      <c r="I24" s="28">
        <f>(19-H24)</f>
        <v>0</v>
      </c>
      <c r="J24" s="40">
        <v>9</v>
      </c>
      <c r="K24" s="28">
        <f>4+(16-J24)</f>
        <v>11</v>
      </c>
      <c r="L24" s="35"/>
      <c r="M24" s="35"/>
      <c r="N24" s="35"/>
      <c r="O24" s="35"/>
      <c r="P24" s="35"/>
      <c r="Q24" s="35"/>
      <c r="R24" s="35"/>
      <c r="S24" s="35"/>
      <c r="T24" s="28">
        <v>14</v>
      </c>
      <c r="U24" s="28">
        <f>(16-T24)</f>
        <v>2</v>
      </c>
      <c r="V24" s="28">
        <v>13</v>
      </c>
      <c r="W24" s="28">
        <f>(15-V24)</f>
        <v>2</v>
      </c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</row>
    <row r="25" spans="1:232" ht="19.5" customHeight="1" x14ac:dyDescent="0.25">
      <c r="A25" s="28" t="s">
        <v>69</v>
      </c>
      <c r="B25" s="28">
        <v>17</v>
      </c>
      <c r="C25" s="29" t="s">
        <v>92</v>
      </c>
      <c r="D25" s="30" t="s">
        <v>93</v>
      </c>
      <c r="E25" s="28" t="s">
        <v>41</v>
      </c>
      <c r="F25" s="28" t="s">
        <v>94</v>
      </c>
      <c r="G25" s="33">
        <f t="shared" si="0"/>
        <v>12</v>
      </c>
      <c r="H25" s="40">
        <v>18</v>
      </c>
      <c r="I25" s="28">
        <f>(19-H25)</f>
        <v>1</v>
      </c>
      <c r="J25" s="28">
        <v>13</v>
      </c>
      <c r="K25" s="28">
        <f>(16-J25)</f>
        <v>3</v>
      </c>
      <c r="L25" s="28">
        <v>9</v>
      </c>
      <c r="M25" s="28">
        <f>4+(10-L25)</f>
        <v>5</v>
      </c>
      <c r="N25" s="35"/>
      <c r="O25" s="35"/>
      <c r="P25" s="35"/>
      <c r="Q25" s="35"/>
      <c r="R25" s="35"/>
      <c r="S25" s="35"/>
      <c r="T25" s="28">
        <v>13</v>
      </c>
      <c r="U25" s="28">
        <f>(16-T25)</f>
        <v>3</v>
      </c>
      <c r="V25" s="35"/>
      <c r="W25" s="35"/>
      <c r="HT25" s="38"/>
      <c r="HU25" s="38"/>
      <c r="HV25" s="38"/>
      <c r="HW25" s="38"/>
      <c r="HX25" s="38"/>
    </row>
    <row r="26" spans="1:232" ht="20.25" customHeight="1" x14ac:dyDescent="0.25">
      <c r="A26" s="28" t="s">
        <v>69</v>
      </c>
      <c r="B26" s="28">
        <v>18</v>
      </c>
      <c r="C26" s="29" t="s">
        <v>95</v>
      </c>
      <c r="D26" s="30" t="s">
        <v>96</v>
      </c>
      <c r="E26" s="28" t="s">
        <v>41</v>
      </c>
      <c r="F26" s="28" t="s">
        <v>46</v>
      </c>
      <c r="G26" s="33">
        <f t="shared" si="0"/>
        <v>8</v>
      </c>
      <c r="H26" s="28">
        <v>17</v>
      </c>
      <c r="I26" s="28">
        <f>(19-H26)</f>
        <v>2</v>
      </c>
      <c r="J26" s="40">
        <v>16</v>
      </c>
      <c r="K26" s="28">
        <f>(16-J26)</f>
        <v>0</v>
      </c>
      <c r="L26" s="35"/>
      <c r="M26" s="35"/>
      <c r="N26" s="35"/>
      <c r="O26" s="35"/>
      <c r="P26" s="35"/>
      <c r="Q26" s="35"/>
      <c r="R26" s="35"/>
      <c r="S26" s="35"/>
      <c r="T26" s="28">
        <v>14</v>
      </c>
      <c r="U26" s="28">
        <f>(16-T26)</f>
        <v>2</v>
      </c>
      <c r="V26" s="28">
        <v>11</v>
      </c>
      <c r="W26" s="28">
        <f>(15-V26)</f>
        <v>4</v>
      </c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  <c r="CV26" s="38"/>
      <c r="CW26" s="38"/>
      <c r="CX26" s="38"/>
      <c r="CY26" s="38"/>
      <c r="CZ26" s="38"/>
      <c r="DA26" s="38"/>
      <c r="DB26" s="38"/>
      <c r="DC26" s="38"/>
      <c r="DD26" s="38"/>
      <c r="DE26" s="38"/>
      <c r="DF26" s="38"/>
      <c r="DG26" s="38"/>
      <c r="DH26" s="38"/>
      <c r="DI26" s="38"/>
      <c r="DJ26" s="38"/>
      <c r="DK26" s="38"/>
      <c r="DL26" s="38"/>
      <c r="DM26" s="38"/>
      <c r="DN26" s="38"/>
      <c r="DO26" s="38"/>
      <c r="DP26" s="38"/>
      <c r="DQ26" s="38"/>
      <c r="DR26" s="38"/>
      <c r="DS26" s="38"/>
      <c r="DT26" s="38"/>
      <c r="DU26" s="38"/>
      <c r="DV26" s="38"/>
      <c r="DW26" s="38"/>
      <c r="DX26" s="38"/>
      <c r="DY26" s="38"/>
      <c r="DZ26" s="38"/>
      <c r="EA26" s="38"/>
      <c r="EB26" s="38"/>
      <c r="EC26" s="38"/>
      <c r="ED26" s="38"/>
      <c r="EE26" s="38"/>
      <c r="EF26" s="38"/>
      <c r="EG26" s="38"/>
      <c r="EH26" s="38"/>
      <c r="EI26" s="38"/>
      <c r="EJ26" s="38"/>
      <c r="EK26" s="38"/>
      <c r="EL26" s="38"/>
      <c r="EM26" s="38"/>
      <c r="EN26" s="38"/>
      <c r="EO26" s="38"/>
      <c r="EP26" s="38"/>
      <c r="EQ26" s="38"/>
      <c r="ER26" s="38"/>
      <c r="ES26" s="38"/>
      <c r="ET26" s="38"/>
      <c r="EU26" s="38"/>
      <c r="EV26" s="38"/>
      <c r="EW26" s="38"/>
      <c r="EX26" s="38"/>
      <c r="EY26" s="38"/>
      <c r="EZ26" s="38"/>
      <c r="FA26" s="38"/>
      <c r="FB26" s="38"/>
      <c r="FC26" s="38"/>
      <c r="FD26" s="38"/>
      <c r="FE26" s="38"/>
      <c r="FF26" s="38"/>
      <c r="FG26" s="38"/>
      <c r="FH26" s="38"/>
      <c r="FI26" s="38"/>
      <c r="FJ26" s="38"/>
      <c r="FK26" s="38"/>
      <c r="FL26" s="38"/>
      <c r="FM26" s="38"/>
      <c r="FN26" s="38"/>
      <c r="FO26" s="38"/>
      <c r="FP26" s="38"/>
      <c r="FQ26" s="38"/>
      <c r="FR26" s="38"/>
      <c r="FS26" s="38"/>
      <c r="FT26" s="38"/>
      <c r="FU26" s="38"/>
      <c r="FV26" s="38"/>
      <c r="FW26" s="38"/>
      <c r="FX26" s="38"/>
      <c r="FY26" s="38"/>
      <c r="FZ26" s="38"/>
      <c r="GA26" s="38"/>
      <c r="GB26" s="38"/>
      <c r="GC26" s="38"/>
      <c r="GD26" s="38"/>
      <c r="GE26" s="38"/>
      <c r="GF26" s="38"/>
      <c r="GG26" s="38"/>
      <c r="GH26" s="38"/>
      <c r="GI26" s="38"/>
      <c r="GJ26" s="38"/>
      <c r="GK26" s="38"/>
      <c r="GL26" s="38"/>
      <c r="GM26" s="38"/>
      <c r="GN26" s="38"/>
      <c r="GO26" s="38"/>
      <c r="GP26" s="38"/>
      <c r="GQ26" s="38"/>
      <c r="GR26" s="38"/>
      <c r="GS26" s="38"/>
      <c r="GT26" s="38"/>
      <c r="GU26" s="38"/>
      <c r="GV26" s="38"/>
      <c r="GW26" s="38"/>
      <c r="GX26" s="38"/>
      <c r="GY26" s="38"/>
      <c r="GZ26" s="38"/>
      <c r="HA26" s="38"/>
      <c r="HB26" s="38"/>
      <c r="HC26" s="38"/>
      <c r="HD26" s="38"/>
      <c r="HE26" s="38"/>
      <c r="HF26" s="38"/>
      <c r="HG26" s="38"/>
      <c r="HH26" s="38"/>
      <c r="HI26" s="38"/>
      <c r="HJ26" s="38"/>
      <c r="HK26" s="38"/>
      <c r="HL26" s="38"/>
      <c r="HM26" s="38"/>
      <c r="HN26" s="38"/>
      <c r="HO26" s="38"/>
      <c r="HP26" s="38"/>
      <c r="HQ26" s="38"/>
      <c r="HR26" s="38"/>
      <c r="HS26" s="38"/>
      <c r="HT26" s="38"/>
      <c r="HU26" s="38"/>
      <c r="HV26" s="38"/>
      <c r="HW26" s="38"/>
      <c r="HX26" s="38"/>
    </row>
    <row r="27" spans="1:232" s="38" customFormat="1" ht="18.75" customHeight="1" x14ac:dyDescent="0.25">
      <c r="A27" s="28" t="s">
        <v>69</v>
      </c>
      <c r="B27" s="28" t="s">
        <v>69</v>
      </c>
      <c r="C27" s="29" t="s">
        <v>97</v>
      </c>
      <c r="D27" s="30" t="s">
        <v>98</v>
      </c>
      <c r="E27" s="50" t="s">
        <v>41</v>
      </c>
      <c r="F27" s="28" t="s">
        <v>99</v>
      </c>
      <c r="G27" s="33">
        <f t="shared" si="0"/>
        <v>0</v>
      </c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28" t="s">
        <v>69</v>
      </c>
      <c r="W27" s="28">
        <v>0</v>
      </c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</row>
    <row r="28" spans="1:232" x14ac:dyDescent="0.2">
      <c r="B28" s="51" t="s">
        <v>100</v>
      </c>
    </row>
    <row r="34" spans="2:2" x14ac:dyDescent="0.2">
      <c r="B34" s="51"/>
    </row>
  </sheetData>
  <autoFilter ref="B8:HS34" xr:uid="{00000000-0009-0000-0000-000003000000}"/>
  <mergeCells count="19">
    <mergeCell ref="R6:S6"/>
    <mergeCell ref="T6:U6"/>
    <mergeCell ref="V6:W6"/>
    <mergeCell ref="M3:M4"/>
    <mergeCell ref="H6:I6"/>
    <mergeCell ref="J6:K6"/>
    <mergeCell ref="L6:M6"/>
    <mergeCell ref="N6:O6"/>
    <mergeCell ref="P6:Q6"/>
    <mergeCell ref="B1:E1"/>
    <mergeCell ref="G1:M1"/>
    <mergeCell ref="B2:E5"/>
    <mergeCell ref="G2:M2"/>
    <mergeCell ref="G3:G4"/>
    <mergeCell ref="H3:H4"/>
    <mergeCell ref="I3:I4"/>
    <mergeCell ref="J3:J4"/>
    <mergeCell ref="K3:K4"/>
    <mergeCell ref="L3:L4"/>
  </mergeCells>
  <pageMargins left="0.62992125984251968" right="0.23622047244094491" top="0.74803149606299213" bottom="0.74803149606299213" header="0.31496062992125984" footer="0.31496062992125984"/>
  <pageSetup paperSize="9" scale="38" fitToHeight="0" orientation="landscape" horizontalDpi="4294967294" verticalDpi="300" r:id="rId1"/>
  <headerFooter alignWithMargins="0">
    <oddHeader>&amp;CPoänglista Whippet Hanar Internationell klass 2016</oddHeader>
    <oddFooter>&amp;Ccopyright Marie Eriksson 3 December 2016</oddFooter>
  </headerFooter>
  <colBreaks count="1" manualBreakCount="1">
    <brk id="15" max="2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F023C-1484-4ACE-BD6F-2C94BEBC9AE8}">
  <sheetPr>
    <pageSetUpPr fitToPage="1"/>
  </sheetPr>
  <dimension ref="A1:IJ85"/>
  <sheetViews>
    <sheetView zoomScaleNormal="100" workbookViewId="0">
      <pane xSplit="6" ySplit="4" topLeftCell="G5" activePane="bottomRight" state="frozen"/>
      <selection activeCell="B21" sqref="B21"/>
      <selection pane="topRight" activeCell="B21" sqref="B21"/>
      <selection pane="bottomLeft" activeCell="B21" sqref="B21"/>
      <selection pane="bottomRight" activeCell="B21" sqref="B21"/>
    </sheetView>
  </sheetViews>
  <sheetFormatPr defaultColWidth="8" defaultRowHeight="12.75" x14ac:dyDescent="0.25"/>
  <cols>
    <col min="1" max="1" width="16.42578125" style="1" customWidth="1"/>
    <col min="2" max="2" width="10.42578125" style="3" customWidth="1"/>
    <col min="3" max="3" width="14.28515625" style="52" customWidth="1"/>
    <col min="4" max="4" width="35.42578125" style="1" customWidth="1"/>
    <col min="5" max="5" width="8" style="53" customWidth="1"/>
    <col min="6" max="6" width="9.140625" style="53" bestFit="1" customWidth="1"/>
    <col min="7" max="7" width="8" style="3" customWidth="1"/>
    <col min="8" max="8" width="13.5703125" style="3" customWidth="1"/>
    <col min="9" max="9" width="14" style="3" customWidth="1"/>
    <col min="10" max="10" width="12.85546875" style="53" customWidth="1"/>
    <col min="11" max="11" width="11.5703125" style="53" customWidth="1"/>
    <col min="12" max="12" width="14.5703125" style="54" customWidth="1"/>
    <col min="13" max="13" width="13.7109375" style="54" customWidth="1"/>
    <col min="14" max="14" width="12.85546875" style="3" customWidth="1"/>
    <col min="15" max="15" width="11.28515625" style="3" customWidth="1"/>
    <col min="16" max="16" width="13.7109375" style="1" customWidth="1"/>
    <col min="17" max="17" width="11.28515625" style="1" customWidth="1"/>
    <col min="18" max="18" width="12.85546875" style="3" customWidth="1"/>
    <col min="19" max="19" width="11.28515625" style="1" customWidth="1"/>
    <col min="20" max="20" width="12.85546875" style="1" customWidth="1"/>
    <col min="21" max="21" width="11.28515625" style="1" customWidth="1"/>
    <col min="22" max="22" width="12.85546875" style="1" bestFit="1" customWidth="1"/>
    <col min="23" max="23" width="11.28515625" style="3" bestFit="1" customWidth="1"/>
    <col min="24" max="16384" width="8" style="1"/>
  </cols>
  <sheetData>
    <row r="1" spans="1:244" ht="43.5" customHeight="1" x14ac:dyDescent="0.25">
      <c r="B1" s="96" t="s">
        <v>352</v>
      </c>
      <c r="C1" s="97"/>
      <c r="D1" s="97"/>
      <c r="E1" s="97"/>
      <c r="F1" s="2"/>
      <c r="G1" s="111" t="s">
        <v>353</v>
      </c>
      <c r="H1" s="112"/>
      <c r="I1" s="112"/>
      <c r="J1" s="112"/>
      <c r="K1" s="112"/>
      <c r="L1" s="112"/>
      <c r="M1" s="112"/>
    </row>
    <row r="2" spans="1:244" ht="27.75" customHeight="1" x14ac:dyDescent="0.25">
      <c r="B2" s="99" t="s">
        <v>2</v>
      </c>
      <c r="C2" s="100"/>
      <c r="D2" s="100"/>
      <c r="E2" s="100"/>
      <c r="F2" s="4"/>
      <c r="G2" s="110" t="s">
        <v>354</v>
      </c>
      <c r="H2" s="110"/>
      <c r="I2" s="110"/>
      <c r="J2" s="110"/>
      <c r="K2" s="110"/>
      <c r="L2" s="110"/>
      <c r="M2" s="110"/>
    </row>
    <row r="3" spans="1:244" ht="12.75" customHeight="1" x14ac:dyDescent="0.25">
      <c r="B3" s="100"/>
      <c r="C3" s="100"/>
      <c r="D3" s="100"/>
      <c r="E3" s="100"/>
      <c r="F3" s="4"/>
      <c r="G3" s="102" t="s">
        <v>4</v>
      </c>
      <c r="H3" s="103" t="s">
        <v>5</v>
      </c>
      <c r="I3" s="104" t="s">
        <v>6</v>
      </c>
      <c r="J3" s="105" t="s">
        <v>7</v>
      </c>
      <c r="K3" s="106" t="s">
        <v>8</v>
      </c>
      <c r="L3" s="107" t="s">
        <v>9</v>
      </c>
      <c r="M3" s="94" t="s">
        <v>10</v>
      </c>
    </row>
    <row r="4" spans="1:244" ht="24" customHeight="1" x14ac:dyDescent="0.25">
      <c r="B4" s="100"/>
      <c r="C4" s="100"/>
      <c r="D4" s="100"/>
      <c r="E4" s="100"/>
      <c r="F4" s="4"/>
      <c r="G4" s="102"/>
      <c r="H4" s="103"/>
      <c r="I4" s="104"/>
      <c r="J4" s="105"/>
      <c r="K4" s="106"/>
      <c r="L4" s="107"/>
      <c r="M4" s="94"/>
    </row>
    <row r="5" spans="1:244" s="5" customFormat="1" ht="19.5" customHeight="1" x14ac:dyDescent="0.25">
      <c r="B5" s="100"/>
      <c r="C5" s="100"/>
      <c r="D5" s="100"/>
      <c r="E5" s="100"/>
      <c r="F5" s="4"/>
      <c r="G5" s="6"/>
      <c r="H5" s="7"/>
      <c r="I5" s="7"/>
      <c r="J5" s="8"/>
      <c r="K5" s="8"/>
      <c r="L5" s="9"/>
      <c r="M5" s="9"/>
      <c r="N5" s="7"/>
      <c r="O5" s="7"/>
      <c r="R5" s="7"/>
      <c r="W5" s="7"/>
    </row>
    <row r="6" spans="1:244" s="5" customFormat="1" ht="46.5" customHeight="1" x14ac:dyDescent="0.25">
      <c r="B6" s="10"/>
      <c r="C6" s="10"/>
      <c r="D6" s="11" t="s">
        <v>355</v>
      </c>
      <c r="E6" s="12"/>
      <c r="F6" s="11" t="s">
        <v>104</v>
      </c>
      <c r="G6" s="13"/>
      <c r="H6" s="92" t="s">
        <v>105</v>
      </c>
      <c r="I6" s="93"/>
      <c r="J6" s="92" t="s">
        <v>105</v>
      </c>
      <c r="K6" s="95"/>
      <c r="L6" s="92" t="s">
        <v>106</v>
      </c>
      <c r="M6" s="93"/>
      <c r="N6" s="92" t="s">
        <v>107</v>
      </c>
      <c r="O6" s="93"/>
      <c r="P6" s="92" t="s">
        <v>15</v>
      </c>
      <c r="Q6" s="93"/>
      <c r="R6" s="92" t="s">
        <v>108</v>
      </c>
      <c r="S6" s="93"/>
      <c r="T6" s="92" t="s">
        <v>17</v>
      </c>
      <c r="U6" s="93"/>
      <c r="V6" s="92" t="s">
        <v>18</v>
      </c>
      <c r="W6" s="93"/>
    </row>
    <row r="7" spans="1:244" s="5" customFormat="1" ht="22.5" x14ac:dyDescent="0.25">
      <c r="A7" s="14" t="s">
        <v>19</v>
      </c>
      <c r="B7" s="14" t="s">
        <v>20</v>
      </c>
      <c r="C7" s="15" t="s">
        <v>21</v>
      </c>
      <c r="D7" s="16"/>
      <c r="E7" s="17"/>
      <c r="F7" s="55" t="s">
        <v>109</v>
      </c>
      <c r="G7" s="18" t="s">
        <v>23</v>
      </c>
      <c r="H7" s="19">
        <v>43197</v>
      </c>
      <c r="I7" s="20" t="s">
        <v>110</v>
      </c>
      <c r="J7" s="19">
        <v>43204</v>
      </c>
      <c r="K7" s="20" t="s">
        <v>25</v>
      </c>
      <c r="L7" s="19">
        <v>43232</v>
      </c>
      <c r="M7" s="20" t="s">
        <v>114</v>
      </c>
      <c r="N7" s="19">
        <v>43260</v>
      </c>
      <c r="O7" s="20" t="s">
        <v>356</v>
      </c>
      <c r="P7" s="19">
        <v>43296</v>
      </c>
      <c r="Q7" s="20" t="s">
        <v>27</v>
      </c>
      <c r="R7" s="19">
        <v>43358</v>
      </c>
      <c r="S7" s="20" t="s">
        <v>357</v>
      </c>
      <c r="T7" s="19">
        <v>43372</v>
      </c>
      <c r="U7" s="20" t="s">
        <v>234</v>
      </c>
      <c r="V7" s="19">
        <v>43380</v>
      </c>
      <c r="W7" s="20" t="s">
        <v>115</v>
      </c>
    </row>
    <row r="8" spans="1:244" s="27" customFormat="1" x14ac:dyDescent="0.25">
      <c r="A8" s="21" t="s">
        <v>116</v>
      </c>
      <c r="B8" s="21" t="s">
        <v>31</v>
      </c>
      <c r="C8" s="22" t="s">
        <v>32</v>
      </c>
      <c r="D8" s="23" t="s">
        <v>33</v>
      </c>
      <c r="E8" s="25" t="s">
        <v>34</v>
      </c>
      <c r="F8" s="25"/>
      <c r="G8" s="25" t="s">
        <v>36</v>
      </c>
      <c r="H8" s="26" t="s">
        <v>31</v>
      </c>
      <c r="I8" s="26" t="s">
        <v>37</v>
      </c>
      <c r="J8" s="26" t="s">
        <v>31</v>
      </c>
      <c r="K8" s="26" t="s">
        <v>37</v>
      </c>
      <c r="L8" s="26" t="s">
        <v>31</v>
      </c>
      <c r="M8" s="26" t="s">
        <v>37</v>
      </c>
      <c r="N8" s="26" t="s">
        <v>31</v>
      </c>
      <c r="O8" s="26" t="s">
        <v>37</v>
      </c>
      <c r="P8" s="26" t="s">
        <v>31</v>
      </c>
      <c r="Q8" s="26" t="s">
        <v>37</v>
      </c>
      <c r="R8" s="26" t="s">
        <v>31</v>
      </c>
      <c r="S8" s="26" t="s">
        <v>37</v>
      </c>
      <c r="T8" s="26" t="s">
        <v>31</v>
      </c>
      <c r="U8" s="26" t="s">
        <v>37</v>
      </c>
      <c r="V8" s="26" t="s">
        <v>31</v>
      </c>
      <c r="W8" s="26" t="s">
        <v>37</v>
      </c>
      <c r="X8" s="27" t="s">
        <v>237</v>
      </c>
    </row>
    <row r="9" spans="1:244" s="38" customFormat="1" ht="21" customHeight="1" x14ac:dyDescent="0.25">
      <c r="A9" s="28" t="s">
        <v>38</v>
      </c>
      <c r="B9" s="32">
        <v>1</v>
      </c>
      <c r="C9" s="30" t="s">
        <v>358</v>
      </c>
      <c r="D9" s="30" t="s">
        <v>359</v>
      </c>
      <c r="E9" s="75" t="s">
        <v>240</v>
      </c>
      <c r="F9" s="32" t="s">
        <v>265</v>
      </c>
      <c r="G9" s="33">
        <f t="shared" ref="G9:G22" si="0">I9+K9+M9+O9+Q9+S9+U9+W9</f>
        <v>195</v>
      </c>
      <c r="H9" s="34">
        <v>1</v>
      </c>
      <c r="I9" s="40">
        <f>20+(14-H9)</f>
        <v>33</v>
      </c>
      <c r="J9" s="34">
        <v>1</v>
      </c>
      <c r="K9" s="40">
        <f>20+(16-J9)</f>
        <v>35</v>
      </c>
      <c r="L9" s="34">
        <v>1</v>
      </c>
      <c r="M9" s="40">
        <f>20+(20-L9)</f>
        <v>39</v>
      </c>
      <c r="N9" s="47"/>
      <c r="O9" s="47"/>
      <c r="P9" s="47"/>
      <c r="Q9" s="47"/>
      <c r="R9" s="47"/>
      <c r="S9" s="47"/>
      <c r="T9" s="34">
        <v>1</v>
      </c>
      <c r="U9" s="40">
        <f>20+(26-T9)</f>
        <v>45</v>
      </c>
      <c r="V9" s="34">
        <v>1</v>
      </c>
      <c r="W9" s="40">
        <f>20+(24-V9)</f>
        <v>43</v>
      </c>
    </row>
    <row r="10" spans="1:244" s="38" customFormat="1" ht="21" customHeight="1" x14ac:dyDescent="0.25">
      <c r="A10" s="28" t="s">
        <v>43</v>
      </c>
      <c r="B10" s="32">
        <v>2</v>
      </c>
      <c r="C10" s="30" t="s">
        <v>360</v>
      </c>
      <c r="D10" s="30" t="s">
        <v>361</v>
      </c>
      <c r="E10" s="75" t="s">
        <v>240</v>
      </c>
      <c r="F10" s="32" t="s">
        <v>265</v>
      </c>
      <c r="G10" s="33">
        <f t="shared" si="0"/>
        <v>120</v>
      </c>
      <c r="H10" s="34">
        <v>3</v>
      </c>
      <c r="I10" s="40">
        <f>16+(14-H10)</f>
        <v>27</v>
      </c>
      <c r="J10" s="40">
        <v>5</v>
      </c>
      <c r="K10" s="40">
        <f>12+(16-J10)</f>
        <v>23</v>
      </c>
      <c r="L10" s="47"/>
      <c r="M10" s="47"/>
      <c r="N10" s="47"/>
      <c r="O10" s="47"/>
      <c r="P10" s="34">
        <v>3</v>
      </c>
      <c r="Q10" s="40">
        <f>16+(15-P10)</f>
        <v>28</v>
      </c>
      <c r="R10" s="47"/>
      <c r="S10" s="47"/>
      <c r="T10" s="34">
        <v>5</v>
      </c>
      <c r="U10" s="40">
        <f>12+(26-T10)</f>
        <v>33</v>
      </c>
      <c r="V10" s="40">
        <v>15</v>
      </c>
      <c r="W10" s="40">
        <f>(24-V10)</f>
        <v>9</v>
      </c>
    </row>
    <row r="11" spans="1:244" s="38" customFormat="1" ht="21" customHeight="1" x14ac:dyDescent="0.25">
      <c r="A11" s="32" t="s">
        <v>461</v>
      </c>
      <c r="B11" s="32">
        <v>3</v>
      </c>
      <c r="C11" s="65" t="s">
        <v>362</v>
      </c>
      <c r="D11" s="65" t="s">
        <v>363</v>
      </c>
      <c r="E11" s="75" t="s">
        <v>240</v>
      </c>
      <c r="F11" s="90" t="s">
        <v>140</v>
      </c>
      <c r="G11" s="33">
        <f t="shared" si="0"/>
        <v>113</v>
      </c>
      <c r="H11" s="47"/>
      <c r="I11" s="47"/>
      <c r="J11" s="47"/>
      <c r="K11" s="47"/>
      <c r="L11" s="47"/>
      <c r="M11" s="47"/>
      <c r="N11" s="34">
        <v>4</v>
      </c>
      <c r="O11" s="40">
        <f>14+(12-N11)</f>
        <v>22</v>
      </c>
      <c r="P11" s="40">
        <v>4</v>
      </c>
      <c r="Q11" s="40">
        <f>14+(15-P11)</f>
        <v>25</v>
      </c>
      <c r="R11" s="34">
        <v>2</v>
      </c>
      <c r="S11" s="40">
        <f>18+(7-R11)</f>
        <v>23</v>
      </c>
      <c r="T11" s="40">
        <v>10</v>
      </c>
      <c r="U11" s="40">
        <f>2+(26-T11)</f>
        <v>18</v>
      </c>
      <c r="V11" s="40">
        <v>7</v>
      </c>
      <c r="W11" s="40">
        <f>8+(24-V11)</f>
        <v>25</v>
      </c>
    </row>
    <row r="12" spans="1:244" s="38" customFormat="1" ht="21" customHeight="1" x14ac:dyDescent="0.25">
      <c r="A12" s="28" t="s">
        <v>50</v>
      </c>
      <c r="B12" s="32">
        <v>4</v>
      </c>
      <c r="C12" s="30" t="s">
        <v>364</v>
      </c>
      <c r="D12" s="30" t="s">
        <v>365</v>
      </c>
      <c r="E12" s="77" t="s">
        <v>240</v>
      </c>
      <c r="F12" s="32" t="s">
        <v>42</v>
      </c>
      <c r="G12" s="33">
        <f t="shared" si="0"/>
        <v>88</v>
      </c>
      <c r="H12" s="40">
        <v>12</v>
      </c>
      <c r="I12" s="40">
        <f>(14-H12)</f>
        <v>2</v>
      </c>
      <c r="J12" s="43">
        <v>3</v>
      </c>
      <c r="K12" s="40">
        <f>16+(16-J12)</f>
        <v>29</v>
      </c>
      <c r="L12" s="40">
        <v>9</v>
      </c>
      <c r="M12" s="40">
        <f>4+(20-L12)</f>
        <v>15</v>
      </c>
      <c r="N12" s="34">
        <v>1</v>
      </c>
      <c r="O12" s="40">
        <f>20+(12-N12)</f>
        <v>31</v>
      </c>
      <c r="P12" s="47"/>
      <c r="Q12" s="47"/>
      <c r="R12" s="40">
        <v>6</v>
      </c>
      <c r="S12" s="40">
        <f>10+(7-R12)</f>
        <v>11</v>
      </c>
      <c r="T12" s="47"/>
      <c r="U12" s="47"/>
      <c r="V12" s="47"/>
      <c r="W12" s="47"/>
    </row>
    <row r="13" spans="1:244" s="38" customFormat="1" ht="21" customHeight="1" x14ac:dyDescent="0.25">
      <c r="A13" s="28" t="s">
        <v>366</v>
      </c>
      <c r="B13" s="32">
        <v>5</v>
      </c>
      <c r="C13" s="30" t="s">
        <v>367</v>
      </c>
      <c r="D13" s="30" t="s">
        <v>368</v>
      </c>
      <c r="E13" s="77" t="s">
        <v>240</v>
      </c>
      <c r="F13" s="89" t="s">
        <v>369</v>
      </c>
      <c r="G13" s="33">
        <f t="shared" si="0"/>
        <v>87</v>
      </c>
      <c r="H13" s="47"/>
      <c r="I13" s="47"/>
      <c r="J13" s="40">
        <v>4</v>
      </c>
      <c r="K13" s="40">
        <f>14+(16-J13)</f>
        <v>26</v>
      </c>
      <c r="L13" s="43">
        <v>2</v>
      </c>
      <c r="M13" s="40">
        <f>18+(20-L13)</f>
        <v>36</v>
      </c>
      <c r="N13" s="47"/>
      <c r="O13" s="47"/>
      <c r="P13" s="40">
        <v>8</v>
      </c>
      <c r="Q13" s="40">
        <f>6+(15-P13)</f>
        <v>13</v>
      </c>
      <c r="R13" s="47"/>
      <c r="S13" s="47"/>
      <c r="T13" s="40">
        <v>24</v>
      </c>
      <c r="U13" s="40">
        <f>(26-T13)</f>
        <v>2</v>
      </c>
      <c r="V13" s="40">
        <v>14</v>
      </c>
      <c r="W13" s="40">
        <f>(24-V13)</f>
        <v>10</v>
      </c>
    </row>
    <row r="14" spans="1:244" s="38" customFormat="1" ht="20.25" customHeight="1" x14ac:dyDescent="0.25">
      <c r="A14" s="28" t="s">
        <v>53</v>
      </c>
      <c r="B14" s="32">
        <v>6</v>
      </c>
      <c r="C14" s="30" t="s">
        <v>370</v>
      </c>
      <c r="D14" s="30" t="s">
        <v>371</v>
      </c>
      <c r="E14" s="84" t="s">
        <v>240</v>
      </c>
      <c r="F14" s="32" t="s">
        <v>265</v>
      </c>
      <c r="G14" s="33">
        <f t="shared" si="0"/>
        <v>76</v>
      </c>
      <c r="H14" s="40">
        <v>4</v>
      </c>
      <c r="I14" s="40">
        <f>14+(14-H14)</f>
        <v>24</v>
      </c>
      <c r="J14" s="40">
        <v>6</v>
      </c>
      <c r="K14" s="40">
        <f>10+(16-J14)</f>
        <v>20</v>
      </c>
      <c r="L14" s="47"/>
      <c r="M14" s="47"/>
      <c r="N14" s="47"/>
      <c r="O14" s="47"/>
      <c r="P14" s="47"/>
      <c r="Q14" s="47"/>
      <c r="R14" s="47"/>
      <c r="S14" s="47"/>
      <c r="T14" s="40">
        <v>19</v>
      </c>
      <c r="U14" s="40">
        <f>(26-T14)</f>
        <v>7</v>
      </c>
      <c r="V14" s="40">
        <v>7</v>
      </c>
      <c r="W14" s="40">
        <f>8+(24-V14)</f>
        <v>25</v>
      </c>
    </row>
    <row r="15" spans="1:244" s="38" customFormat="1" ht="18.75" customHeight="1" x14ac:dyDescent="0.25">
      <c r="A15" s="28" t="s">
        <v>56</v>
      </c>
      <c r="B15" s="32">
        <v>7</v>
      </c>
      <c r="C15" s="65" t="s">
        <v>372</v>
      </c>
      <c r="D15" s="65" t="s">
        <v>373</v>
      </c>
      <c r="E15" s="75" t="s">
        <v>240</v>
      </c>
      <c r="F15" s="40" t="s">
        <v>99</v>
      </c>
      <c r="G15" s="33">
        <f t="shared" si="0"/>
        <v>74</v>
      </c>
      <c r="H15" s="47"/>
      <c r="I15" s="47"/>
      <c r="J15" s="47"/>
      <c r="K15" s="47"/>
      <c r="L15" s="47"/>
      <c r="M15" s="47"/>
      <c r="N15" s="34">
        <v>2</v>
      </c>
      <c r="O15" s="40">
        <f>18+(12-N15)</f>
        <v>28</v>
      </c>
      <c r="P15" s="40">
        <v>14</v>
      </c>
      <c r="Q15" s="40">
        <f>(15-P15)</f>
        <v>1</v>
      </c>
      <c r="R15" s="47"/>
      <c r="S15" s="47"/>
      <c r="T15" s="40">
        <v>21</v>
      </c>
      <c r="U15" s="40">
        <f>(26-T15)</f>
        <v>5</v>
      </c>
      <c r="V15" s="34">
        <v>2</v>
      </c>
      <c r="W15" s="40">
        <f>18+(24-V15)</f>
        <v>40</v>
      </c>
    </row>
    <row r="16" spans="1:244" ht="20.25" customHeight="1" x14ac:dyDescent="0.25">
      <c r="A16" s="28" t="s">
        <v>59</v>
      </c>
      <c r="B16" s="32">
        <v>8</v>
      </c>
      <c r="C16" s="30" t="s">
        <v>374</v>
      </c>
      <c r="D16" s="30" t="s">
        <v>375</v>
      </c>
      <c r="E16" s="75" t="s">
        <v>240</v>
      </c>
      <c r="F16" s="40" t="s">
        <v>265</v>
      </c>
      <c r="G16" s="33">
        <f t="shared" si="0"/>
        <v>73</v>
      </c>
      <c r="H16" s="47"/>
      <c r="I16" s="47"/>
      <c r="J16" s="47"/>
      <c r="K16" s="47"/>
      <c r="L16" s="40">
        <v>8</v>
      </c>
      <c r="M16" s="40">
        <f>6+(20-L16)</f>
        <v>18</v>
      </c>
      <c r="N16" s="47"/>
      <c r="O16" s="47"/>
      <c r="P16" s="40">
        <v>6</v>
      </c>
      <c r="Q16" s="40">
        <f>10+(15-P16)</f>
        <v>19</v>
      </c>
      <c r="R16" s="47"/>
      <c r="S16" s="47"/>
      <c r="T16" s="34">
        <v>4</v>
      </c>
      <c r="U16" s="40">
        <f>14+(26-T16)</f>
        <v>36</v>
      </c>
      <c r="V16" s="47"/>
      <c r="W16" s="47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/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/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/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/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8"/>
      <c r="FG16" s="38"/>
      <c r="FH16" s="38"/>
      <c r="FI16" s="38"/>
      <c r="FJ16" s="38"/>
      <c r="FK16" s="38"/>
      <c r="FL16" s="38"/>
      <c r="FM16" s="38"/>
      <c r="FN16" s="38"/>
      <c r="FO16" s="38"/>
      <c r="FP16" s="38"/>
      <c r="FQ16" s="38"/>
      <c r="FR16" s="38"/>
      <c r="FS16" s="38"/>
      <c r="FT16" s="38"/>
      <c r="FU16" s="38"/>
      <c r="FV16" s="38"/>
      <c r="FW16" s="38"/>
      <c r="FX16" s="38"/>
      <c r="FY16" s="38"/>
      <c r="FZ16" s="38"/>
      <c r="GA16" s="38"/>
      <c r="GB16" s="38"/>
      <c r="GC16" s="38"/>
      <c r="GD16" s="38"/>
      <c r="GE16" s="38"/>
      <c r="GF16" s="38"/>
      <c r="GG16" s="38"/>
      <c r="GH16" s="38"/>
      <c r="GI16" s="38"/>
      <c r="GJ16" s="38"/>
      <c r="GK16" s="38"/>
      <c r="GL16" s="38"/>
      <c r="GM16" s="38"/>
      <c r="GN16" s="38"/>
      <c r="GO16" s="38"/>
      <c r="GP16" s="38"/>
      <c r="GQ16" s="38"/>
      <c r="GR16" s="38"/>
      <c r="GS16" s="38"/>
      <c r="GT16" s="38"/>
      <c r="GU16" s="38"/>
      <c r="GV16" s="38"/>
      <c r="GW16" s="38"/>
      <c r="GX16" s="38"/>
      <c r="GY16" s="38"/>
      <c r="GZ16" s="38"/>
      <c r="HA16" s="38"/>
      <c r="HB16" s="38"/>
      <c r="HC16" s="38"/>
      <c r="HD16" s="38"/>
      <c r="HE16" s="38"/>
      <c r="HF16" s="38"/>
      <c r="HG16" s="38"/>
      <c r="HH16" s="38"/>
      <c r="HI16" s="38"/>
      <c r="HJ16" s="38"/>
      <c r="HK16" s="38"/>
      <c r="HL16" s="38"/>
      <c r="HM16" s="38"/>
      <c r="HN16" s="38"/>
      <c r="HO16" s="38"/>
      <c r="HP16" s="38"/>
      <c r="HQ16" s="38"/>
      <c r="HR16" s="38"/>
      <c r="HS16" s="38"/>
      <c r="HT16" s="38"/>
      <c r="HU16" s="38"/>
      <c r="HV16" s="38"/>
      <c r="HW16" s="38"/>
      <c r="HX16" s="38"/>
      <c r="HY16" s="38"/>
      <c r="HZ16" s="38"/>
      <c r="IA16" s="38"/>
      <c r="IB16" s="38"/>
      <c r="IC16" s="38"/>
      <c r="ID16" s="38"/>
      <c r="IE16" s="38"/>
      <c r="IF16" s="38"/>
      <c r="IG16" s="38"/>
      <c r="IH16" s="38"/>
      <c r="II16" s="38"/>
      <c r="IJ16" s="38"/>
    </row>
    <row r="17" spans="1:244" s="38" customFormat="1" ht="18.75" customHeight="1" x14ac:dyDescent="0.25">
      <c r="A17" s="28" t="s">
        <v>62</v>
      </c>
      <c r="B17" s="32">
        <v>9</v>
      </c>
      <c r="C17" s="30" t="s">
        <v>376</v>
      </c>
      <c r="D17" s="30" t="s">
        <v>377</v>
      </c>
      <c r="E17" s="75" t="s">
        <v>240</v>
      </c>
      <c r="F17" s="32" t="s">
        <v>265</v>
      </c>
      <c r="G17" s="33">
        <f t="shared" si="0"/>
        <v>70</v>
      </c>
      <c r="H17" s="34">
        <v>2</v>
      </c>
      <c r="I17" s="40">
        <f>18+(14-H17)</f>
        <v>30</v>
      </c>
      <c r="J17" s="40">
        <v>7</v>
      </c>
      <c r="K17" s="40">
        <f>8+(16-J17)</f>
        <v>17</v>
      </c>
      <c r="L17" s="40">
        <v>10</v>
      </c>
      <c r="M17" s="40">
        <f>2+(20-L17)</f>
        <v>12</v>
      </c>
      <c r="N17" s="47"/>
      <c r="O17" s="47"/>
      <c r="P17" s="47"/>
      <c r="Q17" s="47"/>
      <c r="R17" s="47"/>
      <c r="S17" s="47"/>
      <c r="T17" s="40">
        <v>15</v>
      </c>
      <c r="U17" s="40">
        <f>(26-T17)</f>
        <v>11</v>
      </c>
      <c r="V17" s="47"/>
      <c r="W17" s="47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</row>
    <row r="18" spans="1:244" s="38" customFormat="1" ht="18.75" customHeight="1" x14ac:dyDescent="0.25">
      <c r="A18" s="28" t="s">
        <v>66</v>
      </c>
      <c r="B18" s="32">
        <v>10</v>
      </c>
      <c r="C18" s="30" t="s">
        <v>378</v>
      </c>
      <c r="D18" s="30" t="s">
        <v>379</v>
      </c>
      <c r="E18" s="75" t="s">
        <v>240</v>
      </c>
      <c r="F18" s="40" t="s">
        <v>265</v>
      </c>
      <c r="G18" s="33">
        <f t="shared" si="0"/>
        <v>66</v>
      </c>
      <c r="H18" s="47"/>
      <c r="I18" s="47"/>
      <c r="J18" s="47"/>
      <c r="K18" s="47"/>
      <c r="L18" s="40">
        <v>17</v>
      </c>
      <c r="M18" s="40">
        <f>(20-L18)</f>
        <v>3</v>
      </c>
      <c r="N18" s="47"/>
      <c r="O18" s="47"/>
      <c r="P18" s="28">
        <v>7</v>
      </c>
      <c r="Q18" s="40">
        <f>8+(15-P18)</f>
        <v>16</v>
      </c>
      <c r="R18" s="47"/>
      <c r="S18" s="47"/>
      <c r="T18" s="34">
        <v>2</v>
      </c>
      <c r="U18" s="40">
        <f>18+(26-T18)</f>
        <v>42</v>
      </c>
      <c r="V18" s="40">
        <v>19</v>
      </c>
      <c r="W18" s="40">
        <f>(24-V18)</f>
        <v>5</v>
      </c>
    </row>
    <row r="19" spans="1:244" s="38" customFormat="1" ht="18.75" customHeight="1" x14ac:dyDescent="0.25">
      <c r="A19" s="28" t="s">
        <v>70</v>
      </c>
      <c r="B19" s="32">
        <v>11</v>
      </c>
      <c r="C19" s="30" t="s">
        <v>380</v>
      </c>
      <c r="D19" s="30" t="s">
        <v>381</v>
      </c>
      <c r="E19" s="84" t="s">
        <v>240</v>
      </c>
      <c r="F19" s="40" t="s">
        <v>265</v>
      </c>
      <c r="G19" s="33">
        <f t="shared" si="0"/>
        <v>66</v>
      </c>
      <c r="H19" s="40">
        <v>11</v>
      </c>
      <c r="I19" s="40">
        <f>(14-H19)</f>
        <v>3</v>
      </c>
      <c r="J19" s="40">
        <v>13</v>
      </c>
      <c r="K19" s="40">
        <f>(16-J19)</f>
        <v>3</v>
      </c>
      <c r="L19" s="40">
        <v>5</v>
      </c>
      <c r="M19" s="40">
        <f>12+(20-L19)</f>
        <v>27</v>
      </c>
      <c r="N19" s="47"/>
      <c r="O19" s="47"/>
      <c r="P19" s="47"/>
      <c r="Q19" s="47"/>
      <c r="R19" s="47"/>
      <c r="S19" s="47"/>
      <c r="T19" s="40">
        <v>7</v>
      </c>
      <c r="U19" s="40">
        <f>8+(26-T19)</f>
        <v>27</v>
      </c>
      <c r="V19" s="40">
        <v>18</v>
      </c>
      <c r="W19" s="40">
        <f>(24-V19)</f>
        <v>6</v>
      </c>
    </row>
    <row r="20" spans="1:244" s="38" customFormat="1" ht="20.25" customHeight="1" x14ac:dyDescent="0.25">
      <c r="A20" s="28" t="s">
        <v>76</v>
      </c>
      <c r="B20" s="32">
        <v>12</v>
      </c>
      <c r="C20" s="30" t="s">
        <v>382</v>
      </c>
      <c r="D20" s="30" t="s">
        <v>383</v>
      </c>
      <c r="E20" s="77" t="s">
        <v>240</v>
      </c>
      <c r="F20" s="40" t="s">
        <v>384</v>
      </c>
      <c r="G20" s="33">
        <f t="shared" si="0"/>
        <v>65</v>
      </c>
      <c r="H20" s="40" t="s">
        <v>69</v>
      </c>
      <c r="I20" s="40">
        <v>0</v>
      </c>
      <c r="J20" s="43">
        <v>2</v>
      </c>
      <c r="K20" s="40">
        <f>18+(16-J20)</f>
        <v>32</v>
      </c>
      <c r="L20" s="34">
        <v>3</v>
      </c>
      <c r="M20" s="40">
        <f>16+(20-L20)</f>
        <v>33</v>
      </c>
      <c r="N20" s="47"/>
      <c r="O20" s="47"/>
      <c r="P20" s="47"/>
      <c r="Q20" s="47"/>
      <c r="R20" s="47"/>
      <c r="S20" s="47"/>
      <c r="T20" s="47"/>
      <c r="U20" s="47"/>
      <c r="V20" s="47"/>
      <c r="W20" s="47"/>
    </row>
    <row r="21" spans="1:244" s="38" customFormat="1" ht="18.75" customHeight="1" x14ac:dyDescent="0.25">
      <c r="A21" s="28" t="s">
        <v>79</v>
      </c>
      <c r="B21" s="32">
        <v>13</v>
      </c>
      <c r="C21" s="30" t="s">
        <v>385</v>
      </c>
      <c r="D21" s="30" t="s">
        <v>386</v>
      </c>
      <c r="E21" s="75" t="s">
        <v>240</v>
      </c>
      <c r="F21" s="40" t="s">
        <v>265</v>
      </c>
      <c r="G21" s="33">
        <f t="shared" si="0"/>
        <v>64</v>
      </c>
      <c r="H21" s="47"/>
      <c r="I21" s="47"/>
      <c r="J21" s="47"/>
      <c r="K21" s="47"/>
      <c r="L21" s="47"/>
      <c r="M21" s="47"/>
      <c r="N21" s="40">
        <v>10</v>
      </c>
      <c r="O21" s="40">
        <f>2+(12-N21)</f>
        <v>4</v>
      </c>
      <c r="P21" s="34">
        <v>1</v>
      </c>
      <c r="Q21" s="40">
        <f>20+(15-P21)</f>
        <v>34</v>
      </c>
      <c r="R21" s="34">
        <v>1</v>
      </c>
      <c r="S21" s="40">
        <f>20+(7-R21)</f>
        <v>26</v>
      </c>
      <c r="T21" s="47"/>
      <c r="U21" s="47"/>
      <c r="V21" s="47"/>
      <c r="W21" s="47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</row>
    <row r="22" spans="1:244" s="38" customFormat="1" ht="18.75" customHeight="1" x14ac:dyDescent="0.25">
      <c r="A22" s="28" t="s">
        <v>366</v>
      </c>
      <c r="B22" s="32">
        <v>14</v>
      </c>
      <c r="C22" s="30" t="s">
        <v>387</v>
      </c>
      <c r="D22" s="30" t="s">
        <v>388</v>
      </c>
      <c r="E22" s="77" t="s">
        <v>240</v>
      </c>
      <c r="F22" s="89" t="s">
        <v>369</v>
      </c>
      <c r="G22" s="33">
        <f t="shared" si="0"/>
        <v>63</v>
      </c>
      <c r="H22" s="40">
        <v>5</v>
      </c>
      <c r="I22" s="40">
        <f>12+(14-H22)</f>
        <v>21</v>
      </c>
      <c r="J22" s="47"/>
      <c r="K22" s="47"/>
      <c r="L22" s="43">
        <v>4</v>
      </c>
      <c r="M22" s="40">
        <f>14+(20-L22)</f>
        <v>30</v>
      </c>
      <c r="N22" s="47"/>
      <c r="O22" s="47"/>
      <c r="P22" s="47"/>
      <c r="Q22" s="47"/>
      <c r="R22" s="47"/>
      <c r="S22" s="47"/>
      <c r="T22" s="40">
        <v>14</v>
      </c>
      <c r="U22" s="40">
        <f>(26-T22)</f>
        <v>12</v>
      </c>
      <c r="V22" s="47"/>
      <c r="W22" s="47"/>
    </row>
    <row r="23" spans="1:244" ht="20.25" customHeight="1" x14ac:dyDescent="0.25">
      <c r="A23" s="28" t="s">
        <v>73</v>
      </c>
      <c r="B23" s="32">
        <v>15</v>
      </c>
      <c r="C23" s="30" t="s">
        <v>389</v>
      </c>
      <c r="D23" s="30" t="s">
        <v>390</v>
      </c>
      <c r="E23" s="84" t="s">
        <v>240</v>
      </c>
      <c r="F23" s="90" t="s">
        <v>140</v>
      </c>
      <c r="G23" s="33">
        <f>I23+K23+M23+O23+Q23+S23+U23+W23-O23</f>
        <v>60</v>
      </c>
      <c r="H23" s="47"/>
      <c r="I23" s="47"/>
      <c r="J23" s="47"/>
      <c r="K23" s="47"/>
      <c r="L23" s="40">
        <v>12</v>
      </c>
      <c r="M23" s="40">
        <f>(20-L23)</f>
        <v>8</v>
      </c>
      <c r="N23" s="40">
        <v>11</v>
      </c>
      <c r="O23" s="90">
        <f>(12-N23)</f>
        <v>1</v>
      </c>
      <c r="P23" s="40">
        <v>5</v>
      </c>
      <c r="Q23" s="40">
        <f>12+(15-P23)</f>
        <v>22</v>
      </c>
      <c r="R23" s="40">
        <v>4</v>
      </c>
      <c r="S23" s="40">
        <f>14+(7-R23)</f>
        <v>17</v>
      </c>
      <c r="T23" s="40">
        <v>17</v>
      </c>
      <c r="U23" s="40">
        <f>(26-T23)</f>
        <v>9</v>
      </c>
      <c r="V23" s="40">
        <v>20</v>
      </c>
      <c r="W23" s="40">
        <f>(24-V23)</f>
        <v>4</v>
      </c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38"/>
      <c r="DB23" s="38"/>
      <c r="DC23" s="38"/>
      <c r="DD23" s="38"/>
      <c r="DE23" s="38"/>
      <c r="DF23" s="38"/>
      <c r="DG23" s="38"/>
      <c r="DH23" s="38"/>
      <c r="DI23" s="38"/>
      <c r="DJ23" s="38"/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  <c r="GK23" s="38"/>
      <c r="GL23" s="38"/>
      <c r="GM23" s="38"/>
      <c r="GN23" s="38"/>
      <c r="GO23" s="38"/>
      <c r="GP23" s="38"/>
      <c r="GQ23" s="38"/>
      <c r="GR23" s="38"/>
      <c r="GS23" s="38"/>
      <c r="GT23" s="38"/>
      <c r="GU23" s="38"/>
      <c r="GV23" s="38"/>
      <c r="GW23" s="38"/>
      <c r="GX23" s="38"/>
      <c r="GY23" s="38"/>
      <c r="GZ23" s="38"/>
      <c r="HA23" s="38"/>
      <c r="HB23" s="38"/>
      <c r="HC23" s="38"/>
      <c r="HD23" s="38"/>
      <c r="HE23" s="38"/>
      <c r="HF23" s="38"/>
      <c r="HG23" s="38"/>
      <c r="HH23" s="38"/>
      <c r="HI23" s="38"/>
      <c r="HJ23" s="38"/>
      <c r="HK23" s="38"/>
      <c r="HL23" s="38"/>
      <c r="HM23" s="38"/>
      <c r="HN23" s="38"/>
      <c r="HO23" s="38"/>
      <c r="HP23" s="38"/>
      <c r="HQ23" s="38"/>
      <c r="HR23" s="38"/>
      <c r="HS23" s="38"/>
      <c r="HT23" s="38"/>
      <c r="HU23" s="38"/>
      <c r="HV23" s="38"/>
      <c r="HW23" s="38"/>
      <c r="HX23" s="38"/>
      <c r="HY23" s="38"/>
      <c r="HZ23" s="38"/>
      <c r="IA23" s="38"/>
      <c r="IB23" s="38"/>
      <c r="IC23" s="38"/>
      <c r="ID23" s="38"/>
      <c r="IE23" s="38"/>
      <c r="IF23" s="38"/>
      <c r="IG23" s="38"/>
      <c r="IH23" s="38"/>
      <c r="II23" s="38"/>
      <c r="IJ23" s="38"/>
    </row>
    <row r="24" spans="1:244" s="38" customFormat="1" ht="18.75" customHeight="1" x14ac:dyDescent="0.25">
      <c r="A24" s="28" t="s">
        <v>83</v>
      </c>
      <c r="B24" s="32">
        <v>16</v>
      </c>
      <c r="C24" s="30" t="s">
        <v>391</v>
      </c>
      <c r="D24" s="30" t="s">
        <v>392</v>
      </c>
      <c r="E24" s="84" t="s">
        <v>240</v>
      </c>
      <c r="F24" s="40" t="s">
        <v>393</v>
      </c>
      <c r="G24" s="33">
        <f>I24+K24+M24+O24+Q24+S24+U24+W24</f>
        <v>49</v>
      </c>
      <c r="H24" s="47"/>
      <c r="I24" s="47"/>
      <c r="J24" s="47"/>
      <c r="K24" s="47"/>
      <c r="L24" s="40">
        <v>6</v>
      </c>
      <c r="M24" s="40">
        <f>10+(20-L24)</f>
        <v>24</v>
      </c>
      <c r="N24" s="47"/>
      <c r="O24" s="47"/>
      <c r="P24" s="47"/>
      <c r="Q24" s="47"/>
      <c r="R24" s="47"/>
      <c r="S24" s="47"/>
      <c r="T24" s="47"/>
      <c r="U24" s="47"/>
      <c r="V24" s="40">
        <v>7</v>
      </c>
      <c r="W24" s="40">
        <f>8+(24-V24)</f>
        <v>25</v>
      </c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</row>
    <row r="25" spans="1:244" s="38" customFormat="1" ht="18.75" customHeight="1" x14ac:dyDescent="0.25">
      <c r="A25" s="28" t="s">
        <v>86</v>
      </c>
      <c r="B25" s="32">
        <v>17</v>
      </c>
      <c r="C25" s="30" t="s">
        <v>394</v>
      </c>
      <c r="D25" s="30" t="s">
        <v>395</v>
      </c>
      <c r="E25" s="84" t="s">
        <v>240</v>
      </c>
      <c r="F25" s="40" t="s">
        <v>265</v>
      </c>
      <c r="G25" s="33">
        <f>I25+K25+M25+O25+Q25+S25+U25+W25</f>
        <v>42</v>
      </c>
      <c r="H25" s="47"/>
      <c r="I25" s="47"/>
      <c r="J25" s="47"/>
      <c r="K25" s="47"/>
      <c r="L25" s="40">
        <v>10</v>
      </c>
      <c r="M25" s="40">
        <f>2+(20-L25)</f>
        <v>12</v>
      </c>
      <c r="N25" s="47"/>
      <c r="O25" s="47"/>
      <c r="P25" s="47"/>
      <c r="Q25" s="47"/>
      <c r="R25" s="47"/>
      <c r="S25" s="47"/>
      <c r="T25" s="40">
        <v>6</v>
      </c>
      <c r="U25" s="40">
        <f>10+(26-T25)</f>
        <v>30</v>
      </c>
      <c r="V25" s="47"/>
      <c r="W25" s="47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</row>
    <row r="26" spans="1:244" s="38" customFormat="1" ht="18.75" customHeight="1" x14ac:dyDescent="0.25">
      <c r="A26" s="28" t="s">
        <v>155</v>
      </c>
      <c r="B26" s="32">
        <v>18</v>
      </c>
      <c r="C26" s="30" t="s">
        <v>396</v>
      </c>
      <c r="D26" s="30" t="s">
        <v>397</v>
      </c>
      <c r="E26" s="75" t="s">
        <v>240</v>
      </c>
      <c r="F26" s="40" t="s">
        <v>122</v>
      </c>
      <c r="G26" s="33">
        <f>I26+K26+M26+O26+Q26+S26+U26+W26</f>
        <v>42</v>
      </c>
      <c r="H26" s="47"/>
      <c r="I26" s="47"/>
      <c r="J26" s="47"/>
      <c r="K26" s="47"/>
      <c r="L26" s="47"/>
      <c r="M26" s="47"/>
      <c r="N26" s="34">
        <v>2</v>
      </c>
      <c r="O26" s="40">
        <f>18+(12-N26)</f>
        <v>28</v>
      </c>
      <c r="P26" s="47"/>
      <c r="Q26" s="47"/>
      <c r="R26" s="40">
        <v>5</v>
      </c>
      <c r="S26" s="40">
        <f>12+(7-R26)</f>
        <v>14</v>
      </c>
      <c r="T26" s="47"/>
      <c r="U26" s="47"/>
      <c r="V26" s="40" t="s">
        <v>69</v>
      </c>
      <c r="W26" s="40">
        <v>0</v>
      </c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</row>
    <row r="27" spans="1:244" s="38" customFormat="1" ht="18.75" customHeight="1" x14ac:dyDescent="0.25">
      <c r="A27" s="28" t="s">
        <v>158</v>
      </c>
      <c r="B27" s="32">
        <v>19</v>
      </c>
      <c r="C27" s="30" t="s">
        <v>398</v>
      </c>
      <c r="D27" s="30" t="s">
        <v>399</v>
      </c>
      <c r="E27" s="84" t="s">
        <v>240</v>
      </c>
      <c r="F27" s="40" t="s">
        <v>99</v>
      </c>
      <c r="G27" s="33">
        <f>I27+K27+M27+O27+Q27+S27+U27+W27</f>
        <v>38</v>
      </c>
      <c r="H27" s="40">
        <v>7</v>
      </c>
      <c r="I27" s="40">
        <f>8+(14-H27)</f>
        <v>15</v>
      </c>
      <c r="J27" s="40">
        <v>15</v>
      </c>
      <c r="K27" s="40">
        <f>(16-J27)</f>
        <v>1</v>
      </c>
      <c r="L27" s="40">
        <v>15</v>
      </c>
      <c r="M27" s="40">
        <f>(20-L27)</f>
        <v>5</v>
      </c>
      <c r="N27" s="47"/>
      <c r="O27" s="47"/>
      <c r="P27" s="47"/>
      <c r="Q27" s="47"/>
      <c r="R27" s="47"/>
      <c r="S27" s="47"/>
      <c r="T27" s="40">
        <v>20</v>
      </c>
      <c r="U27" s="40">
        <f>(26-T27)</f>
        <v>6</v>
      </c>
      <c r="V27" s="40">
        <v>13</v>
      </c>
      <c r="W27" s="40">
        <f>(24-V27)</f>
        <v>11</v>
      </c>
    </row>
    <row r="28" spans="1:244" s="38" customFormat="1" ht="18.75" customHeight="1" x14ac:dyDescent="0.25">
      <c r="A28" s="28" t="s">
        <v>161</v>
      </c>
      <c r="B28" s="32">
        <v>20</v>
      </c>
      <c r="C28" s="30" t="s">
        <v>400</v>
      </c>
      <c r="D28" s="30" t="s">
        <v>401</v>
      </c>
      <c r="E28" s="84" t="s">
        <v>240</v>
      </c>
      <c r="F28" s="40" t="s">
        <v>265</v>
      </c>
      <c r="G28" s="33">
        <f>I28+K28+M28+O28+Q28+S28+U28+W28-I28-W28</f>
        <v>35</v>
      </c>
      <c r="H28" s="40">
        <v>13</v>
      </c>
      <c r="I28" s="90">
        <f>(14-H28)</f>
        <v>1</v>
      </c>
      <c r="J28" s="40">
        <v>11</v>
      </c>
      <c r="K28" s="40">
        <f>(16-J28)</f>
        <v>5</v>
      </c>
      <c r="L28" s="40">
        <v>12</v>
      </c>
      <c r="M28" s="40">
        <f>(20-L28)</f>
        <v>8</v>
      </c>
      <c r="N28" s="47"/>
      <c r="O28" s="47"/>
      <c r="P28" s="40">
        <v>11</v>
      </c>
      <c r="Q28" s="40">
        <f>(15-P28)</f>
        <v>4</v>
      </c>
      <c r="R28" s="40">
        <v>7</v>
      </c>
      <c r="S28" s="40">
        <f>8+(7-R28)</f>
        <v>8</v>
      </c>
      <c r="T28" s="40">
        <v>16</v>
      </c>
      <c r="U28" s="40">
        <f>(26-T28)</f>
        <v>10</v>
      </c>
      <c r="V28" s="40">
        <v>22</v>
      </c>
      <c r="W28" s="90">
        <f>(24-V28)</f>
        <v>2</v>
      </c>
    </row>
    <row r="29" spans="1:244" s="38" customFormat="1" ht="23.25" customHeight="1" x14ac:dyDescent="0.25">
      <c r="A29" s="32" t="s">
        <v>462</v>
      </c>
      <c r="B29" s="32">
        <v>21</v>
      </c>
      <c r="C29" s="30" t="s">
        <v>402</v>
      </c>
      <c r="D29" s="30" t="s">
        <v>403</v>
      </c>
      <c r="E29" s="48" t="s">
        <v>240</v>
      </c>
      <c r="F29" s="90" t="s">
        <v>140</v>
      </c>
      <c r="G29" s="33">
        <f t="shared" ref="G29:G54" si="1">I29+K29+M29+O29+Q29+S29+U29+W29</f>
        <v>34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34">
        <v>4</v>
      </c>
      <c r="W29" s="40">
        <f>14+(24-V29)</f>
        <v>34</v>
      </c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3"/>
      <c r="CX29" s="83"/>
      <c r="CY29" s="83"/>
      <c r="CZ29" s="83"/>
      <c r="DA29" s="83"/>
      <c r="DB29" s="83"/>
      <c r="DC29" s="83"/>
      <c r="DD29" s="83"/>
      <c r="DE29" s="83"/>
      <c r="DF29" s="83"/>
      <c r="DG29" s="83"/>
      <c r="DH29" s="83"/>
      <c r="DI29" s="83"/>
      <c r="DJ29" s="83"/>
      <c r="DK29" s="83"/>
      <c r="DL29" s="83"/>
      <c r="DM29" s="83"/>
      <c r="DN29" s="83"/>
      <c r="DO29" s="83"/>
      <c r="DP29" s="83"/>
      <c r="DQ29" s="83"/>
      <c r="DR29" s="83"/>
      <c r="DS29" s="83"/>
      <c r="DT29" s="83"/>
      <c r="DU29" s="83"/>
      <c r="DV29" s="83"/>
      <c r="DW29" s="83"/>
      <c r="DX29" s="83"/>
      <c r="DY29" s="83"/>
      <c r="DZ29" s="83"/>
      <c r="EA29" s="83"/>
      <c r="EB29" s="83"/>
      <c r="EC29" s="83"/>
      <c r="ED29" s="83"/>
      <c r="EE29" s="83"/>
      <c r="EF29" s="83"/>
      <c r="EG29" s="83"/>
      <c r="EH29" s="83"/>
      <c r="EI29" s="83"/>
      <c r="EJ29" s="83"/>
      <c r="EK29" s="83"/>
      <c r="EL29" s="83"/>
      <c r="EM29" s="83"/>
      <c r="EN29" s="83"/>
      <c r="EO29" s="83"/>
      <c r="EP29" s="83"/>
      <c r="EQ29" s="83"/>
      <c r="ER29" s="83"/>
      <c r="ES29" s="83"/>
      <c r="ET29" s="83"/>
      <c r="EU29" s="83"/>
      <c r="EV29" s="83"/>
      <c r="EW29" s="83"/>
      <c r="EX29" s="83"/>
      <c r="EY29" s="83"/>
      <c r="EZ29" s="83"/>
      <c r="FA29" s="83"/>
      <c r="FB29" s="83"/>
      <c r="FC29" s="83"/>
      <c r="FD29" s="83"/>
      <c r="FE29" s="83"/>
      <c r="FF29" s="83"/>
      <c r="FG29" s="83"/>
      <c r="FH29" s="83"/>
      <c r="FI29" s="83"/>
      <c r="FJ29" s="83"/>
      <c r="FK29" s="83"/>
      <c r="FL29" s="83"/>
      <c r="FM29" s="83"/>
      <c r="FN29" s="83"/>
      <c r="FO29" s="83"/>
      <c r="FP29" s="83"/>
      <c r="FQ29" s="83"/>
      <c r="FR29" s="83"/>
      <c r="FS29" s="83"/>
      <c r="FT29" s="83"/>
      <c r="FU29" s="83"/>
      <c r="FV29" s="83"/>
      <c r="FW29" s="83"/>
      <c r="FX29" s="83"/>
      <c r="FY29" s="83"/>
      <c r="FZ29" s="83"/>
      <c r="GA29" s="83"/>
      <c r="GB29" s="83"/>
      <c r="GC29" s="83"/>
      <c r="GD29" s="83"/>
      <c r="GE29" s="83"/>
      <c r="GF29" s="83"/>
      <c r="GG29" s="83"/>
      <c r="GH29" s="83"/>
      <c r="GI29" s="83"/>
      <c r="GJ29" s="83"/>
      <c r="GK29" s="83"/>
      <c r="GL29" s="83"/>
      <c r="GM29" s="83"/>
      <c r="GN29" s="83"/>
      <c r="GO29" s="83"/>
      <c r="GP29" s="83"/>
      <c r="GQ29" s="83"/>
      <c r="GR29" s="83"/>
      <c r="GS29" s="83"/>
      <c r="GT29" s="83"/>
      <c r="GU29" s="83"/>
      <c r="GV29" s="83"/>
      <c r="GW29" s="83"/>
      <c r="GX29" s="83"/>
      <c r="GY29" s="83"/>
      <c r="GZ29" s="83"/>
      <c r="HA29" s="83"/>
      <c r="HB29" s="83"/>
      <c r="HC29" s="83"/>
      <c r="HD29" s="83"/>
      <c r="HE29" s="83"/>
      <c r="HF29" s="83"/>
      <c r="HG29" s="83"/>
      <c r="HH29" s="83"/>
      <c r="HI29" s="83"/>
      <c r="HJ29" s="83"/>
      <c r="HK29" s="83"/>
      <c r="HL29" s="83"/>
      <c r="HM29" s="83"/>
      <c r="HN29" s="83"/>
      <c r="HO29" s="83"/>
      <c r="HP29" s="83"/>
      <c r="HQ29" s="83"/>
      <c r="HR29" s="83"/>
      <c r="HS29" s="83"/>
      <c r="HT29" s="83"/>
      <c r="HU29" s="83"/>
      <c r="HV29" s="83"/>
      <c r="HW29" s="83"/>
      <c r="HX29" s="83"/>
      <c r="HY29" s="83"/>
      <c r="HZ29" s="83"/>
      <c r="IA29" s="83"/>
      <c r="IB29" s="83"/>
      <c r="IC29" s="83"/>
      <c r="ID29" s="83"/>
      <c r="IE29" s="83"/>
      <c r="IF29" s="83"/>
      <c r="IG29" s="83"/>
      <c r="IH29" s="83"/>
      <c r="II29" s="83"/>
      <c r="IJ29" s="83"/>
    </row>
    <row r="30" spans="1:244" s="38" customFormat="1" ht="18.75" customHeight="1" x14ac:dyDescent="0.25">
      <c r="A30" s="28" t="s">
        <v>171</v>
      </c>
      <c r="B30" s="32">
        <v>22</v>
      </c>
      <c r="C30" s="30" t="s">
        <v>404</v>
      </c>
      <c r="D30" s="30" t="s">
        <v>405</v>
      </c>
      <c r="E30" s="75" t="s">
        <v>240</v>
      </c>
      <c r="F30" s="40" t="s">
        <v>265</v>
      </c>
      <c r="G30" s="33">
        <f t="shared" si="1"/>
        <v>34</v>
      </c>
      <c r="H30" s="47"/>
      <c r="I30" s="47"/>
      <c r="J30" s="47"/>
      <c r="K30" s="47"/>
      <c r="L30" s="47"/>
      <c r="M30" s="47"/>
      <c r="N30" s="47"/>
      <c r="O30" s="47"/>
      <c r="P30" s="34">
        <v>2</v>
      </c>
      <c r="Q30" s="40">
        <f>18+(15-P30)</f>
        <v>31</v>
      </c>
      <c r="R30" s="47"/>
      <c r="S30" s="47"/>
      <c r="T30" s="47"/>
      <c r="U30" s="47"/>
      <c r="V30" s="40">
        <v>21</v>
      </c>
      <c r="W30" s="40">
        <f>(24-V30)</f>
        <v>3</v>
      </c>
    </row>
    <row r="31" spans="1:244" s="38" customFormat="1" ht="20.25" customHeight="1" x14ac:dyDescent="0.25">
      <c r="A31" s="28" t="s">
        <v>174</v>
      </c>
      <c r="B31" s="32">
        <v>23</v>
      </c>
      <c r="C31" s="30" t="s">
        <v>406</v>
      </c>
      <c r="D31" s="30" t="s">
        <v>407</v>
      </c>
      <c r="E31" s="84" t="s">
        <v>240</v>
      </c>
      <c r="F31" s="40" t="s">
        <v>265</v>
      </c>
      <c r="G31" s="33">
        <f t="shared" si="1"/>
        <v>32</v>
      </c>
      <c r="H31" s="40">
        <v>6</v>
      </c>
      <c r="I31" s="40">
        <f>10+(14-H31)</f>
        <v>18</v>
      </c>
      <c r="J31" s="40">
        <v>8</v>
      </c>
      <c r="K31" s="40">
        <f>6+(16-J31)</f>
        <v>14</v>
      </c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</row>
    <row r="32" spans="1:244" s="38" customFormat="1" ht="19.5" customHeight="1" x14ac:dyDescent="0.25">
      <c r="A32" s="28" t="s">
        <v>286</v>
      </c>
      <c r="B32" s="32">
        <v>24</v>
      </c>
      <c r="C32" s="30" t="s">
        <v>408</v>
      </c>
      <c r="D32" s="30" t="s">
        <v>409</v>
      </c>
      <c r="E32" s="48" t="s">
        <v>240</v>
      </c>
      <c r="F32" s="40" t="s">
        <v>265</v>
      </c>
      <c r="G32" s="33">
        <f t="shared" si="1"/>
        <v>31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34">
        <v>5</v>
      </c>
      <c r="W32" s="40">
        <f>12+(24-V32)</f>
        <v>31</v>
      </c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</row>
    <row r="33" spans="1:244" s="38" customFormat="1" ht="18" customHeight="1" x14ac:dyDescent="0.25">
      <c r="A33" s="28" t="s">
        <v>290</v>
      </c>
      <c r="B33" s="32">
        <v>25</v>
      </c>
      <c r="C33" s="30" t="s">
        <v>410</v>
      </c>
      <c r="D33" s="30" t="s">
        <v>411</v>
      </c>
      <c r="E33" s="84" t="s">
        <v>240</v>
      </c>
      <c r="F33" s="28" t="s">
        <v>42</v>
      </c>
      <c r="G33" s="33">
        <f t="shared" si="1"/>
        <v>31</v>
      </c>
      <c r="H33" s="47"/>
      <c r="I33" s="47"/>
      <c r="J33" s="47"/>
      <c r="K33" s="47"/>
      <c r="L33" s="40">
        <v>6</v>
      </c>
      <c r="M33" s="40">
        <f>10+(20-L33)</f>
        <v>24</v>
      </c>
      <c r="N33" s="47"/>
      <c r="O33" s="47"/>
      <c r="P33" s="40">
        <v>10</v>
      </c>
      <c r="Q33" s="40">
        <f>2+(15-P33)</f>
        <v>7</v>
      </c>
      <c r="R33" s="47"/>
      <c r="S33" s="47"/>
      <c r="T33" s="47"/>
      <c r="U33" s="47"/>
      <c r="V33" s="47"/>
      <c r="W33" s="47"/>
    </row>
    <row r="34" spans="1:244" s="38" customFormat="1" ht="22.5" x14ac:dyDescent="0.25">
      <c r="A34" s="32" t="s">
        <v>459</v>
      </c>
      <c r="B34" s="32">
        <v>26</v>
      </c>
      <c r="C34" s="30" t="s">
        <v>412</v>
      </c>
      <c r="D34" s="30" t="s">
        <v>413</v>
      </c>
      <c r="E34" s="32" t="s">
        <v>240</v>
      </c>
      <c r="F34" s="90" t="s">
        <v>140</v>
      </c>
      <c r="G34" s="33">
        <f t="shared" si="1"/>
        <v>28</v>
      </c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0">
        <v>6</v>
      </c>
      <c r="W34" s="40">
        <f>10+(24-V34)</f>
        <v>28</v>
      </c>
    </row>
    <row r="35" spans="1:244" s="38" customFormat="1" ht="18.75" customHeight="1" x14ac:dyDescent="0.25">
      <c r="A35" s="28" t="s">
        <v>189</v>
      </c>
      <c r="B35" s="32">
        <v>27</v>
      </c>
      <c r="C35" s="30" t="s">
        <v>414</v>
      </c>
      <c r="D35" s="30" t="s">
        <v>415</v>
      </c>
      <c r="E35" s="84" t="s">
        <v>240</v>
      </c>
      <c r="F35" s="40" t="s">
        <v>265</v>
      </c>
      <c r="G35" s="33">
        <f t="shared" si="1"/>
        <v>27</v>
      </c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0">
        <v>7</v>
      </c>
      <c r="U35" s="40">
        <f>8+(26-T35)</f>
        <v>27</v>
      </c>
      <c r="V35" s="47"/>
      <c r="W35" s="47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</row>
    <row r="36" spans="1:244" s="38" customFormat="1" ht="18.75" customHeight="1" x14ac:dyDescent="0.25">
      <c r="A36" s="28" t="s">
        <v>297</v>
      </c>
      <c r="B36" s="32">
        <v>28</v>
      </c>
      <c r="C36" s="30" t="s">
        <v>418</v>
      </c>
      <c r="D36" s="30" t="s">
        <v>419</v>
      </c>
      <c r="E36" s="32" t="s">
        <v>240</v>
      </c>
      <c r="F36" s="40" t="s">
        <v>265</v>
      </c>
      <c r="G36" s="33">
        <f t="shared" si="1"/>
        <v>26</v>
      </c>
      <c r="H36" s="40">
        <v>8</v>
      </c>
      <c r="I36" s="40">
        <f>6+(14-H36)</f>
        <v>12</v>
      </c>
      <c r="J36" s="40">
        <v>8</v>
      </c>
      <c r="K36" s="40">
        <f>6+(16-J36)</f>
        <v>14</v>
      </c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</row>
    <row r="37" spans="1:244" s="38" customFormat="1" ht="22.5" x14ac:dyDescent="0.25">
      <c r="A37" s="32" t="s">
        <v>460</v>
      </c>
      <c r="B37" s="32">
        <v>29</v>
      </c>
      <c r="C37" s="30" t="s">
        <v>422</v>
      </c>
      <c r="D37" s="30" t="s">
        <v>423</v>
      </c>
      <c r="E37" s="84" t="s">
        <v>240</v>
      </c>
      <c r="F37" s="90" t="s">
        <v>140</v>
      </c>
      <c r="G37" s="33">
        <f t="shared" si="1"/>
        <v>20</v>
      </c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0">
        <v>3</v>
      </c>
      <c r="S37" s="40">
        <f>16+(7-R37)</f>
        <v>20</v>
      </c>
      <c r="T37" s="47"/>
      <c r="U37" s="47"/>
      <c r="V37" s="47"/>
      <c r="W37" s="47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</row>
    <row r="38" spans="1:244" s="38" customFormat="1" ht="18.75" customHeight="1" x14ac:dyDescent="0.25">
      <c r="A38" s="64" t="s">
        <v>69</v>
      </c>
      <c r="B38" s="32">
        <v>30</v>
      </c>
      <c r="C38" s="30" t="s">
        <v>424</v>
      </c>
      <c r="D38" s="30" t="s">
        <v>425</v>
      </c>
      <c r="E38" s="75" t="s">
        <v>240</v>
      </c>
      <c r="F38" s="40" t="s">
        <v>265</v>
      </c>
      <c r="G38" s="33">
        <f t="shared" si="1"/>
        <v>19</v>
      </c>
      <c r="H38" s="47"/>
      <c r="I38" s="47"/>
      <c r="J38" s="47"/>
      <c r="K38" s="47"/>
      <c r="L38" s="47"/>
      <c r="M38" s="47"/>
      <c r="N38" s="34">
        <v>5</v>
      </c>
      <c r="O38" s="40">
        <f>12+(12-N38)</f>
        <v>19</v>
      </c>
      <c r="P38" s="47"/>
      <c r="Q38" s="47"/>
      <c r="R38" s="47"/>
      <c r="S38" s="47"/>
      <c r="T38" s="47"/>
      <c r="U38" s="47"/>
      <c r="V38" s="47"/>
      <c r="W38" s="47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</row>
    <row r="39" spans="1:244" s="38" customFormat="1" ht="18.75" customHeight="1" x14ac:dyDescent="0.25">
      <c r="A39" s="64" t="s">
        <v>69</v>
      </c>
      <c r="B39" s="32">
        <v>31</v>
      </c>
      <c r="C39" s="30" t="s">
        <v>426</v>
      </c>
      <c r="D39" s="30" t="s">
        <v>427</v>
      </c>
      <c r="E39" s="84" t="s">
        <v>240</v>
      </c>
      <c r="F39" s="40" t="s">
        <v>265</v>
      </c>
      <c r="G39" s="33">
        <f>I39+K39+M39+O39+Q39+S39+U39+W39</f>
        <v>18</v>
      </c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0">
        <v>10</v>
      </c>
      <c r="U39" s="40">
        <f>2+(26-T39)</f>
        <v>18</v>
      </c>
      <c r="V39" s="47"/>
      <c r="W39" s="47"/>
    </row>
    <row r="40" spans="1:244" s="38" customFormat="1" ht="18.75" customHeight="1" x14ac:dyDescent="0.25">
      <c r="A40" s="28" t="s">
        <v>69</v>
      </c>
      <c r="B40" s="32">
        <v>32</v>
      </c>
      <c r="C40" s="30" t="s">
        <v>420</v>
      </c>
      <c r="D40" s="30" t="s">
        <v>421</v>
      </c>
      <c r="E40" s="84" t="s">
        <v>240</v>
      </c>
      <c r="F40" s="40" t="s">
        <v>82</v>
      </c>
      <c r="G40" s="33">
        <f>I40+K40+M40+O40+Q40+S40+U40+W40</f>
        <v>18</v>
      </c>
      <c r="H40" s="47"/>
      <c r="I40" s="47"/>
      <c r="J40" s="47"/>
      <c r="K40" s="47"/>
      <c r="L40" s="47"/>
      <c r="M40" s="47"/>
      <c r="N40" s="40">
        <v>6</v>
      </c>
      <c r="O40" s="40">
        <f>10+(12-N40)</f>
        <v>16</v>
      </c>
      <c r="P40" s="40">
        <v>13</v>
      </c>
      <c r="Q40" s="40">
        <f>(15-P40)</f>
        <v>2</v>
      </c>
      <c r="R40" s="47"/>
      <c r="S40" s="47"/>
      <c r="T40" s="47"/>
      <c r="U40" s="47"/>
      <c r="V40" s="47"/>
      <c r="W40" s="47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</row>
    <row r="41" spans="1:244" s="38" customFormat="1" ht="18.75" customHeight="1" x14ac:dyDescent="0.25">
      <c r="A41" s="64" t="s">
        <v>69</v>
      </c>
      <c r="B41" s="32">
        <v>32</v>
      </c>
      <c r="C41" s="30" t="s">
        <v>428</v>
      </c>
      <c r="D41" s="30" t="s">
        <v>429</v>
      </c>
      <c r="E41" s="84" t="s">
        <v>240</v>
      </c>
      <c r="F41" s="40" t="s">
        <v>94</v>
      </c>
      <c r="G41" s="33">
        <f t="shared" si="1"/>
        <v>18</v>
      </c>
      <c r="H41" s="47"/>
      <c r="I41" s="47"/>
      <c r="J41" s="47"/>
      <c r="K41" s="47"/>
      <c r="L41" s="40">
        <v>15</v>
      </c>
      <c r="M41" s="40">
        <f>(20-L41)</f>
        <v>5</v>
      </c>
      <c r="N41" s="47"/>
      <c r="O41" s="47"/>
      <c r="P41" s="47"/>
      <c r="Q41" s="47"/>
      <c r="R41" s="47"/>
      <c r="S41" s="47"/>
      <c r="T41" s="40">
        <v>13</v>
      </c>
      <c r="U41" s="40">
        <f>(26-T41)</f>
        <v>13</v>
      </c>
      <c r="V41" s="47"/>
      <c r="W41" s="47"/>
    </row>
    <row r="42" spans="1:244" s="38" customFormat="1" ht="22.5" customHeight="1" x14ac:dyDescent="0.25">
      <c r="A42" s="32" t="s">
        <v>69</v>
      </c>
      <c r="B42" s="32">
        <v>34</v>
      </c>
      <c r="C42" s="30" t="s">
        <v>416</v>
      </c>
      <c r="D42" s="30" t="s">
        <v>417</v>
      </c>
      <c r="E42" s="84" t="s">
        <v>240</v>
      </c>
      <c r="F42" s="90" t="s">
        <v>140</v>
      </c>
      <c r="G42" s="33">
        <f>I42+K42+M42+O42+Q42+S42+U42+W42</f>
        <v>16</v>
      </c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0">
        <v>10</v>
      </c>
      <c r="W42" s="40">
        <f>2+(24-V42)</f>
        <v>16</v>
      </c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</row>
    <row r="43" spans="1:244" s="83" customFormat="1" ht="18.75" customHeight="1" x14ac:dyDescent="0.25">
      <c r="A43" s="64" t="s">
        <v>69</v>
      </c>
      <c r="B43" s="32">
        <v>35</v>
      </c>
      <c r="C43" s="65" t="s">
        <v>430</v>
      </c>
      <c r="D43" s="65" t="s">
        <v>431</v>
      </c>
      <c r="E43" s="84" t="s">
        <v>240</v>
      </c>
      <c r="F43" s="40" t="s">
        <v>246</v>
      </c>
      <c r="G43" s="33">
        <f t="shared" si="1"/>
        <v>13</v>
      </c>
      <c r="H43" s="47"/>
      <c r="I43" s="47"/>
      <c r="J43" s="47"/>
      <c r="K43" s="47"/>
      <c r="L43" s="47"/>
      <c r="M43" s="47"/>
      <c r="N43" s="40">
        <v>7</v>
      </c>
      <c r="O43" s="40">
        <f>8+(12-N43)</f>
        <v>13</v>
      </c>
      <c r="P43" s="91" t="s">
        <v>463</v>
      </c>
      <c r="Q43" s="47"/>
      <c r="R43" s="47"/>
      <c r="S43" s="47"/>
      <c r="T43" s="47"/>
      <c r="U43" s="47"/>
      <c r="V43" s="47"/>
      <c r="W43" s="47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  <c r="BK43" s="38"/>
      <c r="BL43" s="38"/>
      <c r="BM43" s="38"/>
      <c r="BN43" s="38"/>
      <c r="BO43" s="38"/>
      <c r="BP43" s="38"/>
      <c r="BQ43" s="38"/>
      <c r="BR43" s="38"/>
      <c r="BS43" s="38"/>
      <c r="BT43" s="38"/>
      <c r="BU43" s="38"/>
      <c r="BV43" s="38"/>
      <c r="BW43" s="38"/>
      <c r="BX43" s="38"/>
      <c r="BY43" s="38"/>
      <c r="BZ43" s="38"/>
      <c r="CA43" s="38"/>
      <c r="CB43" s="38"/>
      <c r="CC43" s="38"/>
      <c r="CD43" s="38"/>
      <c r="CE43" s="38"/>
      <c r="CF43" s="38"/>
      <c r="CG43" s="38"/>
      <c r="CH43" s="38"/>
      <c r="CI43" s="38"/>
      <c r="CJ43" s="38"/>
      <c r="CK43" s="38"/>
      <c r="CL43" s="38"/>
      <c r="CM43" s="38"/>
      <c r="CN43" s="38"/>
      <c r="CO43" s="38"/>
      <c r="CP43" s="38"/>
      <c r="CQ43" s="38"/>
      <c r="CR43" s="38"/>
      <c r="CS43" s="38"/>
      <c r="CT43" s="38"/>
      <c r="CU43" s="38"/>
      <c r="CV43" s="38"/>
      <c r="CW43" s="38"/>
      <c r="CX43" s="38"/>
      <c r="CY43" s="38"/>
      <c r="CZ43" s="38"/>
      <c r="DA43" s="38"/>
      <c r="DB43" s="38"/>
      <c r="DC43" s="38"/>
      <c r="DD43" s="38"/>
      <c r="DE43" s="38"/>
      <c r="DF43" s="38"/>
      <c r="DG43" s="38"/>
      <c r="DH43" s="38"/>
      <c r="DI43" s="38"/>
      <c r="DJ43" s="38"/>
      <c r="DK43" s="38"/>
      <c r="DL43" s="38"/>
      <c r="DM43" s="38"/>
      <c r="DN43" s="38"/>
      <c r="DO43" s="38"/>
      <c r="DP43" s="38"/>
      <c r="DQ43" s="38"/>
      <c r="DR43" s="38"/>
      <c r="DS43" s="38"/>
      <c r="DT43" s="38"/>
      <c r="DU43" s="38"/>
      <c r="DV43" s="38"/>
      <c r="DW43" s="38"/>
      <c r="DX43" s="38"/>
      <c r="DY43" s="38"/>
      <c r="DZ43" s="38"/>
      <c r="EA43" s="38"/>
      <c r="EB43" s="38"/>
      <c r="EC43" s="38"/>
      <c r="ED43" s="38"/>
      <c r="EE43" s="38"/>
      <c r="EF43" s="38"/>
      <c r="EG43" s="38"/>
      <c r="EH43" s="38"/>
      <c r="EI43" s="38"/>
      <c r="EJ43" s="38"/>
      <c r="EK43" s="38"/>
      <c r="EL43" s="38"/>
      <c r="EM43" s="38"/>
      <c r="EN43" s="38"/>
      <c r="EO43" s="38"/>
      <c r="EP43" s="38"/>
      <c r="EQ43" s="38"/>
      <c r="ER43" s="38"/>
      <c r="ES43" s="38"/>
      <c r="ET43" s="38"/>
      <c r="EU43" s="38"/>
      <c r="EV43" s="38"/>
      <c r="EW43" s="38"/>
      <c r="EX43" s="38"/>
      <c r="EY43" s="38"/>
      <c r="EZ43" s="38"/>
      <c r="FA43" s="38"/>
      <c r="FB43" s="38"/>
      <c r="FC43" s="38"/>
      <c r="FD43" s="38"/>
      <c r="FE43" s="38"/>
      <c r="FF43" s="38"/>
      <c r="FG43" s="38"/>
      <c r="FH43" s="38"/>
      <c r="FI43" s="38"/>
      <c r="FJ43" s="38"/>
      <c r="FK43" s="38"/>
      <c r="FL43" s="38"/>
      <c r="FM43" s="38"/>
      <c r="FN43" s="38"/>
      <c r="FO43" s="38"/>
      <c r="FP43" s="38"/>
      <c r="FQ43" s="38"/>
      <c r="FR43" s="38"/>
      <c r="FS43" s="38"/>
      <c r="FT43" s="38"/>
      <c r="FU43" s="38"/>
      <c r="FV43" s="38"/>
      <c r="FW43" s="38"/>
      <c r="FX43" s="38"/>
      <c r="FY43" s="38"/>
      <c r="FZ43" s="38"/>
      <c r="GA43" s="38"/>
      <c r="GB43" s="38"/>
      <c r="GC43" s="38"/>
      <c r="GD43" s="38"/>
      <c r="GE43" s="38"/>
      <c r="GF43" s="38"/>
      <c r="GG43" s="38"/>
      <c r="GH43" s="38"/>
      <c r="GI43" s="38"/>
      <c r="GJ43" s="38"/>
      <c r="GK43" s="38"/>
      <c r="GL43" s="38"/>
      <c r="GM43" s="38"/>
      <c r="GN43" s="38"/>
      <c r="GO43" s="38"/>
      <c r="GP43" s="38"/>
      <c r="GQ43" s="38"/>
      <c r="GR43" s="38"/>
      <c r="GS43" s="38"/>
      <c r="GT43" s="38"/>
      <c r="GU43" s="38"/>
      <c r="GV43" s="38"/>
      <c r="GW43" s="38"/>
      <c r="GX43" s="38"/>
      <c r="GY43" s="38"/>
      <c r="GZ43" s="38"/>
      <c r="HA43" s="38"/>
      <c r="HB43" s="38"/>
      <c r="HC43" s="38"/>
      <c r="HD43" s="38"/>
      <c r="HE43" s="38"/>
      <c r="HF43" s="38"/>
      <c r="HG43" s="38"/>
      <c r="HH43" s="38"/>
      <c r="HI43" s="38"/>
      <c r="HJ43" s="38"/>
      <c r="HK43" s="38"/>
      <c r="HL43" s="38"/>
      <c r="HM43" s="38"/>
      <c r="HN43" s="38"/>
      <c r="HO43" s="38"/>
      <c r="HP43" s="38"/>
      <c r="HQ43" s="38"/>
      <c r="HR43" s="38"/>
      <c r="HS43" s="38"/>
      <c r="HT43" s="38"/>
      <c r="HU43" s="38"/>
      <c r="HV43" s="38"/>
      <c r="HW43" s="38"/>
      <c r="HX43" s="38"/>
      <c r="HY43" s="38"/>
      <c r="HZ43" s="38"/>
      <c r="IA43" s="38"/>
      <c r="IB43" s="38"/>
      <c r="IC43" s="38"/>
      <c r="ID43" s="38"/>
      <c r="IE43" s="38"/>
      <c r="IF43" s="38"/>
      <c r="IG43" s="38"/>
      <c r="IH43" s="38"/>
      <c r="II43" s="38"/>
      <c r="IJ43" s="38"/>
    </row>
    <row r="44" spans="1:244" s="83" customFormat="1" ht="18.75" customHeight="1" x14ac:dyDescent="0.25">
      <c r="A44" s="64" t="s">
        <v>69</v>
      </c>
      <c r="B44" s="32">
        <v>36</v>
      </c>
      <c r="C44" s="30" t="s">
        <v>432</v>
      </c>
      <c r="D44" s="30" t="s">
        <v>433</v>
      </c>
      <c r="E44" s="84" t="s">
        <v>240</v>
      </c>
      <c r="F44" s="40" t="s">
        <v>122</v>
      </c>
      <c r="G44" s="33">
        <f t="shared" si="1"/>
        <v>13</v>
      </c>
      <c r="H44" s="40">
        <v>10</v>
      </c>
      <c r="I44" s="40">
        <f>2+(14-H44)</f>
        <v>6</v>
      </c>
      <c r="J44" s="40">
        <v>14</v>
      </c>
      <c r="K44" s="40">
        <f>(16-J44)</f>
        <v>2</v>
      </c>
      <c r="L44" s="40">
        <v>18</v>
      </c>
      <c r="M44" s="40">
        <f>(20-L44)</f>
        <v>2</v>
      </c>
      <c r="N44" s="47"/>
      <c r="O44" s="47"/>
      <c r="P44" s="47"/>
      <c r="Q44" s="47"/>
      <c r="R44" s="47"/>
      <c r="S44" s="47"/>
      <c r="T44" s="40">
        <v>23</v>
      </c>
      <c r="U44" s="40">
        <f>(26-T44)</f>
        <v>3</v>
      </c>
      <c r="V44" s="47"/>
      <c r="W44" s="47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  <c r="BK44" s="38"/>
      <c r="BL44" s="38"/>
      <c r="BM44" s="38"/>
      <c r="BN44" s="38"/>
      <c r="BO44" s="38"/>
      <c r="BP44" s="38"/>
      <c r="BQ44" s="38"/>
      <c r="BR44" s="38"/>
      <c r="BS44" s="38"/>
      <c r="BT44" s="38"/>
      <c r="BU44" s="38"/>
      <c r="BV44" s="38"/>
      <c r="BW44" s="38"/>
      <c r="BX44" s="38"/>
      <c r="BY44" s="38"/>
      <c r="BZ44" s="38"/>
      <c r="CA44" s="38"/>
      <c r="CB44" s="38"/>
      <c r="CC44" s="38"/>
      <c r="CD44" s="38"/>
      <c r="CE44" s="38"/>
      <c r="CF44" s="38"/>
      <c r="CG44" s="38"/>
      <c r="CH44" s="38"/>
      <c r="CI44" s="38"/>
      <c r="CJ44" s="38"/>
      <c r="CK44" s="38"/>
      <c r="CL44" s="38"/>
      <c r="CM44" s="38"/>
      <c r="CN44" s="38"/>
      <c r="CO44" s="38"/>
      <c r="CP44" s="38"/>
      <c r="CQ44" s="38"/>
      <c r="CR44" s="38"/>
      <c r="CS44" s="38"/>
      <c r="CT44" s="38"/>
      <c r="CU44" s="38"/>
      <c r="CV44" s="38"/>
      <c r="CW44" s="38"/>
      <c r="CX44" s="38"/>
      <c r="CY44" s="38"/>
      <c r="CZ44" s="38"/>
      <c r="DA44" s="38"/>
      <c r="DB44" s="38"/>
      <c r="DC44" s="38"/>
      <c r="DD44" s="38"/>
      <c r="DE44" s="38"/>
      <c r="DF44" s="38"/>
      <c r="DG44" s="38"/>
      <c r="DH44" s="38"/>
      <c r="DI44" s="38"/>
      <c r="DJ44" s="38"/>
      <c r="DK44" s="38"/>
      <c r="DL44" s="38"/>
      <c r="DM44" s="38"/>
      <c r="DN44" s="38"/>
      <c r="DO44" s="38"/>
      <c r="DP44" s="38"/>
      <c r="DQ44" s="38"/>
      <c r="DR44" s="38"/>
      <c r="DS44" s="38"/>
      <c r="DT44" s="38"/>
      <c r="DU44" s="38"/>
      <c r="DV44" s="38"/>
      <c r="DW44" s="38"/>
      <c r="DX44" s="38"/>
      <c r="DY44" s="38"/>
      <c r="DZ44" s="38"/>
      <c r="EA44" s="38"/>
      <c r="EB44" s="38"/>
      <c r="EC44" s="38"/>
      <c r="ED44" s="38"/>
      <c r="EE44" s="38"/>
      <c r="EF44" s="38"/>
      <c r="EG44" s="38"/>
      <c r="EH44" s="38"/>
      <c r="EI44" s="38"/>
      <c r="EJ44" s="38"/>
      <c r="EK44" s="38"/>
      <c r="EL44" s="38"/>
      <c r="EM44" s="38"/>
      <c r="EN44" s="38"/>
      <c r="EO44" s="38"/>
      <c r="EP44" s="38"/>
      <c r="EQ44" s="38"/>
      <c r="ER44" s="38"/>
      <c r="ES44" s="38"/>
      <c r="ET44" s="38"/>
      <c r="EU44" s="38"/>
      <c r="EV44" s="38"/>
      <c r="EW44" s="38"/>
      <c r="EX44" s="38"/>
      <c r="EY44" s="38"/>
      <c r="EZ44" s="38"/>
      <c r="FA44" s="38"/>
      <c r="FB44" s="38"/>
      <c r="FC44" s="38"/>
      <c r="FD44" s="38"/>
      <c r="FE44" s="38"/>
      <c r="FF44" s="38"/>
      <c r="FG44" s="38"/>
      <c r="FH44" s="38"/>
      <c r="FI44" s="38"/>
      <c r="FJ44" s="38"/>
      <c r="FK44" s="38"/>
      <c r="FL44" s="38"/>
      <c r="FM44" s="38"/>
      <c r="FN44" s="38"/>
      <c r="FO44" s="38"/>
      <c r="FP44" s="38"/>
      <c r="FQ44" s="38"/>
      <c r="FR44" s="38"/>
      <c r="FS44" s="38"/>
      <c r="FT44" s="38"/>
      <c r="FU44" s="38"/>
      <c r="FV44" s="38"/>
      <c r="FW44" s="38"/>
      <c r="FX44" s="38"/>
      <c r="FY44" s="38"/>
      <c r="FZ44" s="38"/>
      <c r="GA44" s="38"/>
      <c r="GB44" s="38"/>
      <c r="GC44" s="38"/>
      <c r="GD44" s="38"/>
      <c r="GE44" s="38"/>
      <c r="GF44" s="38"/>
      <c r="GG44" s="38"/>
      <c r="GH44" s="38"/>
      <c r="GI44" s="38"/>
      <c r="GJ44" s="38"/>
      <c r="GK44" s="38"/>
      <c r="GL44" s="38"/>
      <c r="GM44" s="38"/>
      <c r="GN44" s="38"/>
      <c r="GO44" s="38"/>
      <c r="GP44" s="38"/>
      <c r="GQ44" s="38"/>
      <c r="GR44" s="38"/>
      <c r="GS44" s="38"/>
      <c r="GT44" s="38"/>
      <c r="GU44" s="38"/>
      <c r="GV44" s="38"/>
      <c r="GW44" s="38"/>
      <c r="GX44" s="38"/>
      <c r="GY44" s="38"/>
      <c r="GZ44" s="38"/>
      <c r="HA44" s="38"/>
      <c r="HB44" s="38"/>
      <c r="HC44" s="38"/>
      <c r="HD44" s="38"/>
      <c r="HE44" s="38"/>
      <c r="HF44" s="38"/>
      <c r="HG44" s="38"/>
      <c r="HH44" s="38"/>
      <c r="HI44" s="38"/>
      <c r="HJ44" s="38"/>
      <c r="HK44" s="38"/>
      <c r="HL44" s="38"/>
      <c r="HM44" s="38"/>
      <c r="HN44" s="38"/>
      <c r="HO44" s="38"/>
      <c r="HP44" s="38"/>
      <c r="HQ44" s="38"/>
      <c r="HR44" s="38"/>
      <c r="HS44" s="38"/>
      <c r="HT44" s="38"/>
      <c r="HU44" s="38"/>
      <c r="HV44" s="38"/>
      <c r="HW44" s="38"/>
      <c r="HX44" s="38"/>
      <c r="HY44" s="38"/>
      <c r="HZ44" s="38"/>
      <c r="IA44" s="38"/>
      <c r="IB44" s="38"/>
      <c r="IC44" s="38"/>
      <c r="ID44" s="38"/>
      <c r="IE44" s="38"/>
      <c r="IF44" s="38"/>
      <c r="IG44" s="38"/>
      <c r="IH44" s="38"/>
      <c r="II44" s="38"/>
      <c r="IJ44" s="38"/>
    </row>
    <row r="45" spans="1:244" s="83" customFormat="1" ht="18.75" customHeight="1" x14ac:dyDescent="0.25">
      <c r="A45" s="64" t="s">
        <v>69</v>
      </c>
      <c r="B45" s="32">
        <v>37</v>
      </c>
      <c r="C45" s="30" t="s">
        <v>434</v>
      </c>
      <c r="D45" s="30" t="s">
        <v>435</v>
      </c>
      <c r="E45" s="84" t="s">
        <v>240</v>
      </c>
      <c r="F45" s="90" t="s">
        <v>140</v>
      </c>
      <c r="G45" s="33">
        <f t="shared" si="1"/>
        <v>12</v>
      </c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0">
        <v>12</v>
      </c>
      <c r="W45" s="40">
        <f>(24-V45)</f>
        <v>12</v>
      </c>
    </row>
    <row r="46" spans="1:244" s="83" customFormat="1" ht="18.75" customHeight="1" x14ac:dyDescent="0.25">
      <c r="A46" s="64" t="s">
        <v>69</v>
      </c>
      <c r="B46" s="32">
        <v>38</v>
      </c>
      <c r="C46" s="29" t="s">
        <v>436</v>
      </c>
      <c r="D46" s="29" t="s">
        <v>437</v>
      </c>
      <c r="E46" s="84" t="s">
        <v>240</v>
      </c>
      <c r="F46" s="40" t="s">
        <v>265</v>
      </c>
      <c r="G46" s="33">
        <f t="shared" si="1"/>
        <v>10</v>
      </c>
      <c r="H46" s="47"/>
      <c r="I46" s="47"/>
      <c r="J46" s="47"/>
      <c r="K46" s="47"/>
      <c r="L46" s="47"/>
      <c r="M46" s="47"/>
      <c r="N46" s="40">
        <v>8</v>
      </c>
      <c r="O46" s="40">
        <f>6+(12-N46)</f>
        <v>10</v>
      </c>
      <c r="P46" s="91"/>
      <c r="Q46" s="47"/>
      <c r="R46" s="47"/>
      <c r="S46" s="47"/>
      <c r="T46" s="47"/>
      <c r="U46" s="47"/>
      <c r="V46" s="47"/>
      <c r="W46" s="47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  <c r="BK46" s="38"/>
      <c r="BL46" s="38"/>
      <c r="BM46" s="38"/>
      <c r="BN46" s="38"/>
      <c r="BO46" s="38"/>
      <c r="BP46" s="38"/>
      <c r="BQ46" s="38"/>
      <c r="BR46" s="38"/>
      <c r="BS46" s="38"/>
      <c r="BT46" s="38"/>
      <c r="BU46" s="38"/>
      <c r="BV46" s="38"/>
      <c r="BW46" s="38"/>
      <c r="BX46" s="38"/>
      <c r="BY46" s="38"/>
      <c r="BZ46" s="38"/>
      <c r="CA46" s="38"/>
      <c r="CB46" s="38"/>
      <c r="CC46" s="38"/>
      <c r="CD46" s="38"/>
      <c r="CE46" s="38"/>
      <c r="CF46" s="38"/>
      <c r="CG46" s="38"/>
      <c r="CH46" s="38"/>
      <c r="CI46" s="38"/>
      <c r="CJ46" s="38"/>
      <c r="CK46" s="38"/>
      <c r="CL46" s="38"/>
      <c r="CM46" s="38"/>
      <c r="CN46" s="38"/>
      <c r="CO46" s="38"/>
      <c r="CP46" s="38"/>
      <c r="CQ46" s="38"/>
      <c r="CR46" s="38"/>
      <c r="CS46" s="38"/>
      <c r="CT46" s="38"/>
      <c r="CU46" s="38"/>
      <c r="CV46" s="38"/>
      <c r="CW46" s="38"/>
      <c r="CX46" s="38"/>
      <c r="CY46" s="38"/>
      <c r="CZ46" s="38"/>
      <c r="DA46" s="38"/>
      <c r="DB46" s="38"/>
      <c r="DC46" s="38"/>
      <c r="DD46" s="38"/>
      <c r="DE46" s="38"/>
      <c r="DF46" s="38"/>
      <c r="DG46" s="38"/>
      <c r="DH46" s="38"/>
      <c r="DI46" s="38"/>
      <c r="DJ46" s="38"/>
      <c r="DK46" s="38"/>
      <c r="DL46" s="38"/>
      <c r="DM46" s="38"/>
      <c r="DN46" s="38"/>
      <c r="DO46" s="38"/>
      <c r="DP46" s="38"/>
      <c r="DQ46" s="38"/>
      <c r="DR46" s="38"/>
      <c r="DS46" s="38"/>
      <c r="DT46" s="38"/>
      <c r="DU46" s="38"/>
      <c r="DV46" s="38"/>
      <c r="DW46" s="38"/>
      <c r="DX46" s="38"/>
      <c r="DY46" s="38"/>
      <c r="DZ46" s="38"/>
      <c r="EA46" s="38"/>
      <c r="EB46" s="38"/>
      <c r="EC46" s="38"/>
      <c r="ED46" s="38"/>
      <c r="EE46" s="38"/>
      <c r="EF46" s="38"/>
      <c r="EG46" s="38"/>
      <c r="EH46" s="38"/>
      <c r="EI46" s="38"/>
      <c r="EJ46" s="38"/>
      <c r="EK46" s="38"/>
      <c r="EL46" s="38"/>
      <c r="EM46" s="38"/>
      <c r="EN46" s="38"/>
      <c r="EO46" s="38"/>
      <c r="EP46" s="38"/>
      <c r="EQ46" s="38"/>
      <c r="ER46" s="38"/>
      <c r="ES46" s="38"/>
      <c r="ET46" s="38"/>
      <c r="EU46" s="38"/>
      <c r="EV46" s="38"/>
      <c r="EW46" s="38"/>
      <c r="EX46" s="38"/>
      <c r="EY46" s="38"/>
      <c r="EZ46" s="38"/>
      <c r="FA46" s="38"/>
      <c r="FB46" s="38"/>
      <c r="FC46" s="38"/>
      <c r="FD46" s="38"/>
      <c r="FE46" s="38"/>
      <c r="FF46" s="38"/>
      <c r="FG46" s="38"/>
      <c r="FH46" s="38"/>
      <c r="FI46" s="38"/>
      <c r="FJ46" s="38"/>
      <c r="FK46" s="38"/>
      <c r="FL46" s="38"/>
      <c r="FM46" s="38"/>
      <c r="FN46" s="38"/>
      <c r="FO46" s="38"/>
      <c r="FP46" s="38"/>
      <c r="FQ46" s="38"/>
      <c r="FR46" s="38"/>
      <c r="FS46" s="38"/>
      <c r="FT46" s="38"/>
      <c r="FU46" s="38"/>
      <c r="FV46" s="38"/>
      <c r="FW46" s="38"/>
      <c r="FX46" s="38"/>
      <c r="FY46" s="38"/>
      <c r="FZ46" s="38"/>
      <c r="GA46" s="38"/>
      <c r="GB46" s="38"/>
      <c r="GC46" s="38"/>
      <c r="GD46" s="38"/>
      <c r="GE46" s="38"/>
      <c r="GF46" s="38"/>
      <c r="GG46" s="38"/>
      <c r="GH46" s="38"/>
      <c r="GI46" s="38"/>
      <c r="GJ46" s="38"/>
      <c r="GK46" s="38"/>
      <c r="GL46" s="38"/>
      <c r="GM46" s="38"/>
      <c r="GN46" s="38"/>
      <c r="GO46" s="38"/>
      <c r="GP46" s="38"/>
      <c r="GQ46" s="38"/>
      <c r="GR46" s="38"/>
      <c r="GS46" s="38"/>
      <c r="GT46" s="38"/>
      <c r="GU46" s="38"/>
      <c r="GV46" s="38"/>
      <c r="GW46" s="38"/>
      <c r="GX46" s="38"/>
      <c r="GY46" s="38"/>
      <c r="GZ46" s="38"/>
      <c r="HA46" s="38"/>
      <c r="HB46" s="38"/>
      <c r="HC46" s="38"/>
      <c r="HD46" s="38"/>
      <c r="HE46" s="38"/>
      <c r="HF46" s="38"/>
      <c r="HG46" s="38"/>
      <c r="HH46" s="38"/>
      <c r="HI46" s="38"/>
      <c r="HJ46" s="38"/>
      <c r="HK46" s="38"/>
      <c r="HL46" s="38"/>
      <c r="HM46" s="38"/>
      <c r="HN46" s="38"/>
      <c r="HO46" s="38"/>
      <c r="HP46" s="38"/>
      <c r="HQ46" s="38"/>
      <c r="HR46" s="38"/>
      <c r="HS46" s="38"/>
      <c r="HT46" s="38"/>
      <c r="HU46" s="38"/>
      <c r="HV46" s="38"/>
      <c r="HW46" s="38"/>
      <c r="HX46" s="38"/>
      <c r="HY46" s="38"/>
      <c r="HZ46" s="38"/>
      <c r="IA46" s="38"/>
      <c r="IB46" s="38"/>
      <c r="IC46" s="38"/>
      <c r="ID46" s="38"/>
      <c r="IE46" s="38"/>
      <c r="IF46" s="38"/>
      <c r="IG46" s="38"/>
      <c r="IH46" s="38"/>
      <c r="II46" s="38"/>
      <c r="IJ46" s="38"/>
    </row>
    <row r="47" spans="1:244" s="83" customFormat="1" ht="18.75" customHeight="1" x14ac:dyDescent="0.25">
      <c r="A47" s="64" t="s">
        <v>69</v>
      </c>
      <c r="B47" s="32">
        <v>39</v>
      </c>
      <c r="C47" s="30" t="s">
        <v>438</v>
      </c>
      <c r="D47" s="30" t="s">
        <v>439</v>
      </c>
      <c r="E47" s="32" t="s">
        <v>240</v>
      </c>
      <c r="F47" s="40" t="s">
        <v>265</v>
      </c>
      <c r="G47" s="33">
        <f t="shared" si="1"/>
        <v>9</v>
      </c>
      <c r="H47" s="47"/>
      <c r="I47" s="47"/>
      <c r="J47" s="47"/>
      <c r="K47" s="47"/>
      <c r="L47" s="40">
        <v>19</v>
      </c>
      <c r="M47" s="40">
        <f>(20-L47)</f>
        <v>1</v>
      </c>
      <c r="N47" s="47"/>
      <c r="O47" s="47"/>
      <c r="P47" s="47"/>
      <c r="Q47" s="47"/>
      <c r="R47" s="47"/>
      <c r="S47" s="47"/>
      <c r="T47" s="47"/>
      <c r="U47" s="47"/>
      <c r="V47" s="40">
        <v>16</v>
      </c>
      <c r="W47" s="40">
        <f>(24-V47)</f>
        <v>8</v>
      </c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  <c r="BM47" s="38"/>
      <c r="BN47" s="38"/>
      <c r="BO47" s="38"/>
      <c r="BP47" s="38"/>
      <c r="BQ47" s="38"/>
      <c r="BR47" s="38"/>
      <c r="BS47" s="38"/>
      <c r="BT47" s="38"/>
      <c r="BU47" s="38"/>
      <c r="BV47" s="38"/>
      <c r="BW47" s="38"/>
      <c r="BX47" s="38"/>
      <c r="BY47" s="38"/>
      <c r="BZ47" s="38"/>
      <c r="CA47" s="38"/>
      <c r="CB47" s="38"/>
      <c r="CC47" s="38"/>
      <c r="CD47" s="38"/>
      <c r="CE47" s="38"/>
      <c r="CF47" s="38"/>
      <c r="CG47" s="38"/>
      <c r="CH47" s="38"/>
      <c r="CI47" s="38"/>
      <c r="CJ47" s="38"/>
      <c r="CK47" s="38"/>
      <c r="CL47" s="38"/>
      <c r="CM47" s="38"/>
      <c r="CN47" s="38"/>
      <c r="CO47" s="38"/>
      <c r="CP47" s="38"/>
      <c r="CQ47" s="38"/>
      <c r="CR47" s="38"/>
      <c r="CS47" s="38"/>
      <c r="CT47" s="38"/>
      <c r="CU47" s="38"/>
      <c r="CV47" s="38"/>
      <c r="CW47" s="38"/>
      <c r="CX47" s="38"/>
      <c r="CY47" s="38"/>
      <c r="CZ47" s="38"/>
      <c r="DA47" s="38"/>
      <c r="DB47" s="38"/>
      <c r="DC47" s="38"/>
      <c r="DD47" s="38"/>
      <c r="DE47" s="38"/>
      <c r="DF47" s="38"/>
      <c r="DG47" s="38"/>
      <c r="DH47" s="38"/>
      <c r="DI47" s="38"/>
      <c r="DJ47" s="38"/>
      <c r="DK47" s="38"/>
      <c r="DL47" s="38"/>
      <c r="DM47" s="38"/>
      <c r="DN47" s="38"/>
      <c r="DO47" s="38"/>
      <c r="DP47" s="38"/>
      <c r="DQ47" s="38"/>
      <c r="DR47" s="38"/>
      <c r="DS47" s="38"/>
      <c r="DT47" s="38"/>
      <c r="DU47" s="38"/>
      <c r="DV47" s="38"/>
      <c r="DW47" s="38"/>
      <c r="DX47" s="38"/>
      <c r="DY47" s="38"/>
      <c r="DZ47" s="38"/>
      <c r="EA47" s="38"/>
      <c r="EB47" s="38"/>
      <c r="EC47" s="38"/>
      <c r="ED47" s="38"/>
      <c r="EE47" s="38"/>
      <c r="EF47" s="38"/>
      <c r="EG47" s="38"/>
      <c r="EH47" s="38"/>
      <c r="EI47" s="38"/>
      <c r="EJ47" s="38"/>
      <c r="EK47" s="38"/>
      <c r="EL47" s="38"/>
      <c r="EM47" s="38"/>
      <c r="EN47" s="38"/>
      <c r="EO47" s="38"/>
      <c r="EP47" s="38"/>
      <c r="EQ47" s="38"/>
      <c r="ER47" s="38"/>
      <c r="ES47" s="38"/>
      <c r="ET47" s="38"/>
      <c r="EU47" s="38"/>
      <c r="EV47" s="38"/>
      <c r="EW47" s="38"/>
      <c r="EX47" s="38"/>
      <c r="EY47" s="38"/>
      <c r="EZ47" s="38"/>
      <c r="FA47" s="38"/>
      <c r="FB47" s="38"/>
      <c r="FC47" s="38"/>
      <c r="FD47" s="38"/>
      <c r="FE47" s="38"/>
      <c r="FF47" s="38"/>
      <c r="FG47" s="38"/>
      <c r="FH47" s="38"/>
      <c r="FI47" s="38"/>
      <c r="FJ47" s="38"/>
      <c r="FK47" s="38"/>
      <c r="FL47" s="38"/>
      <c r="FM47" s="38"/>
      <c r="FN47" s="38"/>
      <c r="FO47" s="38"/>
      <c r="FP47" s="38"/>
      <c r="FQ47" s="38"/>
      <c r="FR47" s="38"/>
      <c r="FS47" s="38"/>
      <c r="FT47" s="38"/>
      <c r="FU47" s="38"/>
      <c r="FV47" s="38"/>
      <c r="FW47" s="38"/>
      <c r="FX47" s="38"/>
      <c r="FY47" s="38"/>
      <c r="FZ47" s="38"/>
      <c r="GA47" s="38"/>
      <c r="GB47" s="38"/>
      <c r="GC47" s="38"/>
      <c r="GD47" s="38"/>
      <c r="GE47" s="38"/>
      <c r="GF47" s="38"/>
      <c r="GG47" s="38"/>
      <c r="GH47" s="38"/>
      <c r="GI47" s="38"/>
      <c r="GJ47" s="38"/>
      <c r="GK47" s="38"/>
      <c r="GL47" s="38"/>
      <c r="GM47" s="38"/>
      <c r="GN47" s="38"/>
      <c r="GO47" s="38"/>
      <c r="GP47" s="38"/>
      <c r="GQ47" s="38"/>
      <c r="GR47" s="38"/>
      <c r="GS47" s="38"/>
      <c r="GT47" s="38"/>
      <c r="GU47" s="38"/>
      <c r="GV47" s="38"/>
      <c r="GW47" s="38"/>
      <c r="GX47" s="38"/>
      <c r="GY47" s="38"/>
      <c r="GZ47" s="38"/>
      <c r="HA47" s="38"/>
      <c r="HB47" s="38"/>
      <c r="HC47" s="38"/>
      <c r="HD47" s="38"/>
      <c r="HE47" s="38"/>
      <c r="HF47" s="38"/>
      <c r="HG47" s="38"/>
      <c r="HH47" s="38"/>
      <c r="HI47" s="38"/>
      <c r="HJ47" s="38"/>
      <c r="HK47" s="38"/>
      <c r="HL47" s="38"/>
      <c r="HM47" s="38"/>
      <c r="HN47" s="38"/>
      <c r="HO47" s="38"/>
      <c r="HP47" s="38"/>
      <c r="HQ47" s="38"/>
      <c r="HR47" s="38"/>
      <c r="HS47" s="38"/>
      <c r="HT47" s="38"/>
      <c r="HU47" s="38"/>
      <c r="HV47" s="38"/>
      <c r="HW47" s="38"/>
      <c r="HX47" s="38"/>
      <c r="HY47" s="38"/>
      <c r="HZ47" s="38"/>
      <c r="IA47" s="38"/>
      <c r="IB47" s="38"/>
      <c r="IC47" s="38"/>
      <c r="ID47" s="38"/>
      <c r="IE47" s="38"/>
      <c r="IF47" s="38"/>
      <c r="IG47" s="38"/>
      <c r="IH47" s="38"/>
      <c r="II47" s="38"/>
      <c r="IJ47" s="38"/>
    </row>
    <row r="48" spans="1:244" s="83" customFormat="1" ht="18.75" customHeight="1" x14ac:dyDescent="0.25">
      <c r="A48" s="64" t="s">
        <v>69</v>
      </c>
      <c r="B48" s="32">
        <v>40</v>
      </c>
      <c r="C48" s="30" t="s">
        <v>440</v>
      </c>
      <c r="D48" s="30" t="s">
        <v>441</v>
      </c>
      <c r="E48" s="84" t="s">
        <v>240</v>
      </c>
      <c r="F48" s="90" t="s">
        <v>140</v>
      </c>
      <c r="G48" s="33">
        <f t="shared" si="1"/>
        <v>8</v>
      </c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0">
        <v>18</v>
      </c>
      <c r="U48" s="40">
        <f>(26-T48)</f>
        <v>8</v>
      </c>
      <c r="V48" s="47"/>
      <c r="W48" s="47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8"/>
      <c r="BO48" s="38"/>
      <c r="BP48" s="38"/>
      <c r="BQ48" s="38"/>
      <c r="BR48" s="38"/>
      <c r="BS48" s="38"/>
      <c r="BT48" s="38"/>
      <c r="BU48" s="38"/>
      <c r="BV48" s="38"/>
      <c r="BW48" s="38"/>
      <c r="BX48" s="38"/>
      <c r="BY48" s="38"/>
      <c r="BZ48" s="38"/>
      <c r="CA48" s="38"/>
      <c r="CB48" s="38"/>
      <c r="CC48" s="38"/>
      <c r="CD48" s="38"/>
      <c r="CE48" s="38"/>
      <c r="CF48" s="38"/>
      <c r="CG48" s="38"/>
      <c r="CH48" s="38"/>
      <c r="CI48" s="38"/>
      <c r="CJ48" s="38"/>
      <c r="CK48" s="38"/>
      <c r="CL48" s="38"/>
      <c r="CM48" s="38"/>
      <c r="CN48" s="38"/>
      <c r="CO48" s="38"/>
      <c r="CP48" s="38"/>
      <c r="CQ48" s="38"/>
      <c r="CR48" s="38"/>
      <c r="CS48" s="38"/>
      <c r="CT48" s="38"/>
      <c r="CU48" s="38"/>
      <c r="CV48" s="38"/>
      <c r="CW48" s="38"/>
      <c r="CX48" s="38"/>
      <c r="CY48" s="38"/>
      <c r="CZ48" s="38"/>
      <c r="DA48" s="38"/>
      <c r="DB48" s="38"/>
      <c r="DC48" s="38"/>
      <c r="DD48" s="38"/>
      <c r="DE48" s="38"/>
      <c r="DF48" s="38"/>
      <c r="DG48" s="38"/>
      <c r="DH48" s="38"/>
      <c r="DI48" s="38"/>
      <c r="DJ48" s="38"/>
      <c r="DK48" s="38"/>
      <c r="DL48" s="38"/>
      <c r="DM48" s="38"/>
      <c r="DN48" s="38"/>
      <c r="DO48" s="38"/>
      <c r="DP48" s="38"/>
      <c r="DQ48" s="38"/>
      <c r="DR48" s="38"/>
      <c r="DS48" s="38"/>
      <c r="DT48" s="38"/>
      <c r="DU48" s="38"/>
      <c r="DV48" s="38"/>
      <c r="DW48" s="38"/>
      <c r="DX48" s="38"/>
      <c r="DY48" s="38"/>
      <c r="DZ48" s="38"/>
      <c r="EA48" s="38"/>
      <c r="EB48" s="38"/>
      <c r="EC48" s="38"/>
      <c r="ED48" s="38"/>
      <c r="EE48" s="38"/>
      <c r="EF48" s="38"/>
      <c r="EG48" s="38"/>
      <c r="EH48" s="38"/>
      <c r="EI48" s="38"/>
      <c r="EJ48" s="38"/>
      <c r="EK48" s="38"/>
      <c r="EL48" s="38"/>
      <c r="EM48" s="38"/>
      <c r="EN48" s="38"/>
      <c r="EO48" s="38"/>
      <c r="EP48" s="38"/>
      <c r="EQ48" s="38"/>
      <c r="ER48" s="38"/>
      <c r="ES48" s="38"/>
      <c r="ET48" s="38"/>
      <c r="EU48" s="38"/>
      <c r="EV48" s="38"/>
      <c r="EW48" s="38"/>
      <c r="EX48" s="38"/>
      <c r="EY48" s="38"/>
      <c r="EZ48" s="38"/>
      <c r="FA48" s="38"/>
      <c r="FB48" s="38"/>
      <c r="FC48" s="38"/>
      <c r="FD48" s="38"/>
      <c r="FE48" s="38"/>
      <c r="FF48" s="38"/>
      <c r="FG48" s="38"/>
      <c r="FH48" s="38"/>
      <c r="FI48" s="38"/>
      <c r="FJ48" s="38"/>
      <c r="FK48" s="38"/>
      <c r="FL48" s="38"/>
      <c r="FM48" s="38"/>
      <c r="FN48" s="38"/>
      <c r="FO48" s="38"/>
      <c r="FP48" s="38"/>
      <c r="FQ48" s="38"/>
      <c r="FR48" s="38"/>
      <c r="FS48" s="38"/>
      <c r="FT48" s="38"/>
      <c r="FU48" s="38"/>
      <c r="FV48" s="38"/>
      <c r="FW48" s="38"/>
      <c r="FX48" s="38"/>
      <c r="FY48" s="38"/>
      <c r="FZ48" s="38"/>
      <c r="GA48" s="38"/>
      <c r="GB48" s="38"/>
      <c r="GC48" s="38"/>
      <c r="GD48" s="38"/>
      <c r="GE48" s="38"/>
      <c r="GF48" s="38"/>
      <c r="GG48" s="38"/>
      <c r="GH48" s="38"/>
      <c r="GI48" s="38"/>
      <c r="GJ48" s="38"/>
      <c r="GK48" s="38"/>
      <c r="GL48" s="38"/>
      <c r="GM48" s="38"/>
      <c r="GN48" s="38"/>
      <c r="GO48" s="38"/>
      <c r="GP48" s="38"/>
      <c r="GQ48" s="38"/>
      <c r="GR48" s="38"/>
      <c r="GS48" s="38"/>
      <c r="GT48" s="38"/>
      <c r="GU48" s="38"/>
      <c r="GV48" s="38"/>
      <c r="GW48" s="38"/>
      <c r="GX48" s="38"/>
      <c r="GY48" s="38"/>
      <c r="GZ48" s="38"/>
      <c r="HA48" s="38"/>
      <c r="HB48" s="38"/>
      <c r="HC48" s="38"/>
      <c r="HD48" s="38"/>
      <c r="HE48" s="38"/>
      <c r="HF48" s="38"/>
      <c r="HG48" s="38"/>
      <c r="HH48" s="38"/>
      <c r="HI48" s="38"/>
      <c r="HJ48" s="38"/>
      <c r="HK48" s="38"/>
      <c r="HL48" s="38"/>
      <c r="HM48" s="38"/>
      <c r="HN48" s="38"/>
      <c r="HO48" s="38"/>
      <c r="HP48" s="38"/>
      <c r="HQ48" s="38"/>
      <c r="HR48" s="38"/>
      <c r="HS48" s="38"/>
      <c r="HT48" s="38"/>
      <c r="HU48" s="38"/>
      <c r="HV48" s="38"/>
      <c r="HW48" s="38"/>
      <c r="HX48" s="38"/>
      <c r="HY48" s="38"/>
      <c r="HZ48" s="38"/>
      <c r="IA48" s="38"/>
      <c r="IB48" s="38"/>
      <c r="IC48" s="38"/>
      <c r="ID48" s="38"/>
      <c r="IE48" s="38"/>
      <c r="IF48" s="38"/>
      <c r="IG48" s="38"/>
      <c r="IH48" s="38"/>
      <c r="II48" s="38"/>
      <c r="IJ48" s="38"/>
    </row>
    <row r="49" spans="1:244" s="83" customFormat="1" ht="18.75" customHeight="1" x14ac:dyDescent="0.25">
      <c r="A49" s="64" t="s">
        <v>69</v>
      </c>
      <c r="B49" s="32">
        <v>40</v>
      </c>
      <c r="C49" s="30" t="s">
        <v>442</v>
      </c>
      <c r="D49" s="30" t="s">
        <v>443</v>
      </c>
      <c r="E49" s="84" t="s">
        <v>240</v>
      </c>
      <c r="F49" s="40" t="s">
        <v>265</v>
      </c>
      <c r="G49" s="33">
        <f t="shared" si="1"/>
        <v>8</v>
      </c>
      <c r="H49" s="47"/>
      <c r="I49" s="47"/>
      <c r="J49" s="40">
        <v>10</v>
      </c>
      <c r="K49" s="40">
        <f>2+(16-J49)</f>
        <v>8</v>
      </c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</row>
    <row r="50" spans="1:244" s="83" customFormat="1" ht="18.75" customHeight="1" x14ac:dyDescent="0.25">
      <c r="A50" s="64" t="s">
        <v>69</v>
      </c>
      <c r="B50" s="32">
        <v>42</v>
      </c>
      <c r="C50" s="30" t="s">
        <v>444</v>
      </c>
      <c r="D50" s="30" t="s">
        <v>445</v>
      </c>
      <c r="E50" s="84" t="s">
        <v>240</v>
      </c>
      <c r="F50" s="90" t="s">
        <v>140</v>
      </c>
      <c r="G50" s="33">
        <f t="shared" si="1"/>
        <v>8</v>
      </c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0">
        <v>25</v>
      </c>
      <c r="U50" s="40">
        <f>(26-T50)</f>
        <v>1</v>
      </c>
      <c r="V50" s="40">
        <v>17</v>
      </c>
      <c r="W50" s="40">
        <f>(24-V50)</f>
        <v>7</v>
      </c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  <c r="BM50" s="38"/>
      <c r="BN50" s="38"/>
      <c r="BO50" s="38"/>
      <c r="BP50" s="38"/>
      <c r="BQ50" s="38"/>
      <c r="BR50" s="38"/>
      <c r="BS50" s="38"/>
      <c r="BT50" s="38"/>
      <c r="BU50" s="38"/>
      <c r="BV50" s="38"/>
      <c r="BW50" s="38"/>
      <c r="BX50" s="38"/>
      <c r="BY50" s="38"/>
      <c r="BZ50" s="38"/>
      <c r="CA50" s="38"/>
      <c r="CB50" s="38"/>
      <c r="CC50" s="38"/>
      <c r="CD50" s="38"/>
      <c r="CE50" s="38"/>
      <c r="CF50" s="38"/>
      <c r="CG50" s="38"/>
      <c r="CH50" s="38"/>
      <c r="CI50" s="38"/>
      <c r="CJ50" s="38"/>
      <c r="CK50" s="38"/>
      <c r="CL50" s="38"/>
      <c r="CM50" s="38"/>
      <c r="CN50" s="38"/>
      <c r="CO50" s="38"/>
      <c r="CP50" s="38"/>
      <c r="CQ50" s="38"/>
      <c r="CR50" s="38"/>
      <c r="CS50" s="38"/>
      <c r="CT50" s="38"/>
      <c r="CU50" s="38"/>
      <c r="CV50" s="38"/>
      <c r="CW50" s="38"/>
      <c r="CX50" s="38"/>
      <c r="CY50" s="38"/>
      <c r="CZ50" s="38"/>
      <c r="DA50" s="38"/>
      <c r="DB50" s="38"/>
      <c r="DC50" s="38"/>
      <c r="DD50" s="38"/>
      <c r="DE50" s="38"/>
      <c r="DF50" s="38"/>
      <c r="DG50" s="38"/>
      <c r="DH50" s="38"/>
      <c r="DI50" s="38"/>
      <c r="DJ50" s="38"/>
      <c r="DK50" s="38"/>
      <c r="DL50" s="38"/>
      <c r="DM50" s="38"/>
      <c r="DN50" s="38"/>
      <c r="DO50" s="38"/>
      <c r="DP50" s="38"/>
      <c r="DQ50" s="38"/>
      <c r="DR50" s="38"/>
      <c r="DS50" s="38"/>
      <c r="DT50" s="38"/>
      <c r="DU50" s="38"/>
      <c r="DV50" s="38"/>
      <c r="DW50" s="38"/>
      <c r="DX50" s="38"/>
      <c r="DY50" s="38"/>
      <c r="DZ50" s="38"/>
      <c r="EA50" s="38"/>
      <c r="EB50" s="38"/>
      <c r="EC50" s="38"/>
      <c r="ED50" s="38"/>
      <c r="EE50" s="38"/>
      <c r="EF50" s="38"/>
      <c r="EG50" s="38"/>
      <c r="EH50" s="38"/>
      <c r="EI50" s="38"/>
      <c r="EJ50" s="38"/>
      <c r="EK50" s="38"/>
      <c r="EL50" s="38"/>
      <c r="EM50" s="38"/>
      <c r="EN50" s="38"/>
      <c r="EO50" s="38"/>
      <c r="EP50" s="38"/>
      <c r="EQ50" s="38"/>
      <c r="ER50" s="38"/>
      <c r="ES50" s="38"/>
      <c r="ET50" s="38"/>
      <c r="EU50" s="38"/>
      <c r="EV50" s="38"/>
      <c r="EW50" s="38"/>
      <c r="EX50" s="38"/>
      <c r="EY50" s="38"/>
      <c r="EZ50" s="38"/>
      <c r="FA50" s="38"/>
      <c r="FB50" s="38"/>
      <c r="FC50" s="38"/>
      <c r="FD50" s="38"/>
      <c r="FE50" s="38"/>
      <c r="FF50" s="38"/>
      <c r="FG50" s="38"/>
      <c r="FH50" s="38"/>
      <c r="FI50" s="38"/>
      <c r="FJ50" s="38"/>
      <c r="FK50" s="38"/>
      <c r="FL50" s="38"/>
      <c r="FM50" s="38"/>
      <c r="FN50" s="38"/>
      <c r="FO50" s="38"/>
      <c r="FP50" s="38"/>
      <c r="FQ50" s="38"/>
      <c r="FR50" s="38"/>
      <c r="FS50" s="38"/>
      <c r="FT50" s="38"/>
      <c r="FU50" s="38"/>
      <c r="FV50" s="38"/>
      <c r="FW50" s="38"/>
      <c r="FX50" s="38"/>
      <c r="FY50" s="38"/>
      <c r="FZ50" s="38"/>
      <c r="GA50" s="38"/>
      <c r="GB50" s="38"/>
      <c r="GC50" s="38"/>
      <c r="GD50" s="38"/>
      <c r="GE50" s="38"/>
      <c r="GF50" s="38"/>
      <c r="GG50" s="38"/>
      <c r="GH50" s="38"/>
      <c r="GI50" s="38"/>
      <c r="GJ50" s="38"/>
      <c r="GK50" s="38"/>
      <c r="GL50" s="38"/>
      <c r="GM50" s="38"/>
      <c r="GN50" s="38"/>
      <c r="GO50" s="38"/>
      <c r="GP50" s="38"/>
      <c r="GQ50" s="38"/>
      <c r="GR50" s="38"/>
      <c r="GS50" s="38"/>
      <c r="GT50" s="38"/>
      <c r="GU50" s="38"/>
      <c r="GV50" s="38"/>
      <c r="GW50" s="38"/>
      <c r="GX50" s="38"/>
      <c r="GY50" s="38"/>
      <c r="GZ50" s="38"/>
      <c r="HA50" s="38"/>
      <c r="HB50" s="38"/>
      <c r="HC50" s="38"/>
      <c r="HD50" s="38"/>
      <c r="HE50" s="38"/>
      <c r="HF50" s="38"/>
      <c r="HG50" s="38"/>
      <c r="HH50" s="38"/>
      <c r="HI50" s="38"/>
      <c r="HJ50" s="38"/>
      <c r="HK50" s="38"/>
      <c r="HL50" s="38"/>
      <c r="HM50" s="38"/>
      <c r="HN50" s="38"/>
      <c r="HO50" s="38"/>
      <c r="HP50" s="38"/>
      <c r="HQ50" s="38"/>
      <c r="HR50" s="38"/>
      <c r="HS50" s="38"/>
      <c r="HT50" s="38"/>
      <c r="HU50" s="38"/>
      <c r="HV50" s="38"/>
      <c r="HW50" s="38"/>
      <c r="HX50" s="38"/>
      <c r="HY50" s="38"/>
      <c r="HZ50" s="38"/>
      <c r="IA50" s="38"/>
      <c r="IB50" s="38"/>
      <c r="IC50" s="38"/>
      <c r="ID50" s="38"/>
      <c r="IE50" s="38"/>
      <c r="IF50" s="38"/>
      <c r="IG50" s="38"/>
      <c r="IH50" s="38"/>
      <c r="II50" s="38"/>
      <c r="IJ50" s="38"/>
    </row>
    <row r="51" spans="1:244" s="83" customFormat="1" ht="18.75" customHeight="1" x14ac:dyDescent="0.25">
      <c r="A51" s="64" t="s">
        <v>69</v>
      </c>
      <c r="B51" s="32">
        <v>43</v>
      </c>
      <c r="C51" s="30" t="s">
        <v>446</v>
      </c>
      <c r="D51" s="30" t="s">
        <v>447</v>
      </c>
      <c r="E51" s="84" t="s">
        <v>240</v>
      </c>
      <c r="F51" s="79" t="s">
        <v>42</v>
      </c>
      <c r="G51" s="33">
        <f t="shared" si="1"/>
        <v>6</v>
      </c>
      <c r="H51" s="47"/>
      <c r="I51" s="47"/>
      <c r="J51" s="47"/>
      <c r="K51" s="47"/>
      <c r="L51" s="40">
        <v>14</v>
      </c>
      <c r="M51" s="40">
        <f>(20-L51)</f>
        <v>6</v>
      </c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  <c r="BK51" s="38"/>
      <c r="BL51" s="38"/>
      <c r="BM51" s="38"/>
      <c r="BN51" s="38"/>
      <c r="BO51" s="38"/>
      <c r="BP51" s="38"/>
      <c r="BQ51" s="38"/>
      <c r="BR51" s="38"/>
      <c r="BS51" s="38"/>
      <c r="BT51" s="38"/>
      <c r="BU51" s="38"/>
      <c r="BV51" s="38"/>
      <c r="BW51" s="38"/>
      <c r="BX51" s="38"/>
      <c r="BY51" s="38"/>
      <c r="BZ51" s="38"/>
      <c r="CA51" s="38"/>
      <c r="CB51" s="38"/>
      <c r="CC51" s="38"/>
      <c r="CD51" s="38"/>
      <c r="CE51" s="38"/>
      <c r="CF51" s="38"/>
      <c r="CG51" s="38"/>
      <c r="CH51" s="38"/>
      <c r="CI51" s="38"/>
      <c r="CJ51" s="38"/>
      <c r="CK51" s="38"/>
      <c r="CL51" s="38"/>
      <c r="CM51" s="38"/>
      <c r="CN51" s="38"/>
      <c r="CO51" s="38"/>
      <c r="CP51" s="38"/>
      <c r="CQ51" s="38"/>
      <c r="CR51" s="38"/>
      <c r="CS51" s="38"/>
      <c r="CT51" s="38"/>
      <c r="CU51" s="38"/>
      <c r="CV51" s="38"/>
      <c r="CW51" s="38"/>
      <c r="CX51" s="38"/>
      <c r="CY51" s="38"/>
      <c r="CZ51" s="38"/>
      <c r="DA51" s="38"/>
      <c r="DB51" s="38"/>
      <c r="DC51" s="38"/>
      <c r="DD51" s="38"/>
      <c r="DE51" s="38"/>
      <c r="DF51" s="38"/>
      <c r="DG51" s="38"/>
      <c r="DH51" s="38"/>
      <c r="DI51" s="38"/>
      <c r="DJ51" s="38"/>
      <c r="DK51" s="38"/>
      <c r="DL51" s="38"/>
      <c r="DM51" s="38"/>
      <c r="DN51" s="38"/>
      <c r="DO51" s="38"/>
      <c r="DP51" s="38"/>
      <c r="DQ51" s="38"/>
      <c r="DR51" s="38"/>
      <c r="DS51" s="38"/>
      <c r="DT51" s="38"/>
      <c r="DU51" s="38"/>
      <c r="DV51" s="38"/>
      <c r="DW51" s="38"/>
      <c r="DX51" s="38"/>
      <c r="DY51" s="38"/>
      <c r="DZ51" s="38"/>
      <c r="EA51" s="38"/>
      <c r="EB51" s="38"/>
      <c r="EC51" s="38"/>
      <c r="ED51" s="38"/>
      <c r="EE51" s="38"/>
      <c r="EF51" s="38"/>
      <c r="EG51" s="38"/>
      <c r="EH51" s="38"/>
      <c r="EI51" s="38"/>
      <c r="EJ51" s="38"/>
      <c r="EK51" s="38"/>
      <c r="EL51" s="38"/>
      <c r="EM51" s="38"/>
      <c r="EN51" s="38"/>
      <c r="EO51" s="38"/>
      <c r="EP51" s="38"/>
      <c r="EQ51" s="38"/>
      <c r="ER51" s="38"/>
      <c r="ES51" s="38"/>
      <c r="ET51" s="38"/>
      <c r="EU51" s="38"/>
      <c r="EV51" s="38"/>
      <c r="EW51" s="38"/>
      <c r="EX51" s="38"/>
      <c r="EY51" s="38"/>
      <c r="EZ51" s="38"/>
      <c r="FA51" s="38"/>
      <c r="FB51" s="38"/>
      <c r="FC51" s="38"/>
      <c r="FD51" s="38"/>
      <c r="FE51" s="38"/>
      <c r="FF51" s="38"/>
      <c r="FG51" s="38"/>
      <c r="FH51" s="38"/>
      <c r="FI51" s="38"/>
      <c r="FJ51" s="38"/>
      <c r="FK51" s="38"/>
      <c r="FL51" s="38"/>
      <c r="FM51" s="38"/>
      <c r="FN51" s="38"/>
      <c r="FO51" s="38"/>
      <c r="FP51" s="38"/>
      <c r="FQ51" s="38"/>
      <c r="FR51" s="38"/>
      <c r="FS51" s="38"/>
      <c r="FT51" s="38"/>
      <c r="FU51" s="38"/>
      <c r="FV51" s="38"/>
      <c r="FW51" s="38"/>
      <c r="FX51" s="38"/>
      <c r="FY51" s="38"/>
      <c r="FZ51" s="38"/>
      <c r="GA51" s="38"/>
      <c r="GB51" s="38"/>
      <c r="GC51" s="38"/>
      <c r="GD51" s="38"/>
      <c r="GE51" s="38"/>
      <c r="GF51" s="38"/>
      <c r="GG51" s="38"/>
      <c r="GH51" s="38"/>
      <c r="GI51" s="38"/>
      <c r="GJ51" s="38"/>
      <c r="GK51" s="38"/>
      <c r="GL51" s="38"/>
      <c r="GM51" s="38"/>
      <c r="GN51" s="38"/>
      <c r="GO51" s="38"/>
      <c r="GP51" s="38"/>
      <c r="GQ51" s="38"/>
      <c r="GR51" s="38"/>
      <c r="GS51" s="38"/>
      <c r="GT51" s="38"/>
      <c r="GU51" s="38"/>
      <c r="GV51" s="38"/>
      <c r="GW51" s="38"/>
      <c r="GX51" s="38"/>
      <c r="GY51" s="38"/>
      <c r="GZ51" s="38"/>
      <c r="HA51" s="38"/>
      <c r="HB51" s="38"/>
      <c r="HC51" s="38"/>
      <c r="HD51" s="38"/>
      <c r="HE51" s="38"/>
      <c r="HF51" s="38"/>
      <c r="HG51" s="38"/>
      <c r="HH51" s="38"/>
      <c r="HI51" s="38"/>
      <c r="HJ51" s="38"/>
      <c r="HK51" s="38"/>
      <c r="HL51" s="38"/>
      <c r="HM51" s="38"/>
      <c r="HN51" s="38"/>
      <c r="HO51" s="38"/>
      <c r="HP51" s="38"/>
      <c r="HQ51" s="38"/>
      <c r="HR51" s="38"/>
      <c r="HS51" s="38"/>
      <c r="HT51" s="38"/>
      <c r="HU51" s="38"/>
      <c r="HV51" s="38"/>
      <c r="HW51" s="38"/>
      <c r="HX51" s="38"/>
      <c r="HY51" s="38"/>
      <c r="HZ51" s="38"/>
      <c r="IA51" s="38"/>
      <c r="IB51" s="38"/>
      <c r="IC51" s="38"/>
      <c r="ID51" s="38"/>
      <c r="IE51" s="38"/>
      <c r="IF51" s="38"/>
      <c r="IG51" s="38"/>
      <c r="IH51" s="38"/>
      <c r="II51" s="38"/>
      <c r="IJ51" s="38"/>
    </row>
    <row r="52" spans="1:244" s="38" customFormat="1" ht="17.25" customHeight="1" x14ac:dyDescent="0.25">
      <c r="A52" s="64" t="s">
        <v>69</v>
      </c>
      <c r="B52" s="32">
        <v>44</v>
      </c>
      <c r="C52" s="65" t="s">
        <v>448</v>
      </c>
      <c r="D52" s="65" t="s">
        <v>449</v>
      </c>
      <c r="E52" s="84" t="s">
        <v>240</v>
      </c>
      <c r="F52" s="40" t="s">
        <v>99</v>
      </c>
      <c r="G52" s="33">
        <f t="shared" si="1"/>
        <v>0</v>
      </c>
      <c r="H52" s="47"/>
      <c r="I52" s="47"/>
      <c r="J52" s="47"/>
      <c r="K52" s="47"/>
      <c r="L52" s="47"/>
      <c r="M52" s="47"/>
      <c r="N52" s="40">
        <v>12</v>
      </c>
      <c r="O52" s="40">
        <f>(12-N52)</f>
        <v>0</v>
      </c>
      <c r="P52" s="47"/>
      <c r="Q52" s="47"/>
      <c r="R52" s="47"/>
      <c r="S52" s="47"/>
      <c r="T52" s="47"/>
      <c r="U52" s="47"/>
      <c r="V52" s="47"/>
      <c r="W52" s="47"/>
    </row>
    <row r="53" spans="1:244" s="38" customFormat="1" ht="18.75" customHeight="1" x14ac:dyDescent="0.25">
      <c r="A53" s="64" t="s">
        <v>69</v>
      </c>
      <c r="B53" s="32">
        <v>45</v>
      </c>
      <c r="C53" s="30" t="s">
        <v>450</v>
      </c>
      <c r="D53" s="30" t="s">
        <v>451</v>
      </c>
      <c r="E53" s="84" t="s">
        <v>240</v>
      </c>
      <c r="F53" s="40" t="s">
        <v>99</v>
      </c>
      <c r="G53" s="33">
        <f t="shared" si="1"/>
        <v>0</v>
      </c>
      <c r="H53" s="47"/>
      <c r="I53" s="47"/>
      <c r="J53" s="47"/>
      <c r="K53" s="47"/>
      <c r="L53" s="40">
        <v>20</v>
      </c>
      <c r="M53" s="40">
        <f>(20-L53)</f>
        <v>0</v>
      </c>
      <c r="N53" s="47"/>
      <c r="O53" s="47"/>
      <c r="P53" s="47"/>
      <c r="Q53" s="47"/>
      <c r="R53" s="47"/>
      <c r="S53" s="47"/>
      <c r="T53" s="40" t="s">
        <v>69</v>
      </c>
      <c r="U53" s="40">
        <v>0</v>
      </c>
      <c r="V53" s="47"/>
      <c r="W53" s="47"/>
    </row>
    <row r="54" spans="1:244" s="38" customFormat="1" ht="18.75" customHeight="1" x14ac:dyDescent="0.25">
      <c r="A54" s="64" t="s">
        <v>69</v>
      </c>
      <c r="B54" s="32" t="s">
        <v>69</v>
      </c>
      <c r="C54" s="30" t="s">
        <v>452</v>
      </c>
      <c r="D54" s="30" t="s">
        <v>453</v>
      </c>
      <c r="E54" s="32" t="s">
        <v>240</v>
      </c>
      <c r="F54" s="90" t="s">
        <v>140</v>
      </c>
      <c r="G54" s="33">
        <f t="shared" si="1"/>
        <v>0</v>
      </c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0" t="s">
        <v>69</v>
      </c>
      <c r="W54" s="40">
        <v>0</v>
      </c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</row>
    <row r="55" spans="1:244" x14ac:dyDescent="0.2">
      <c r="A55" s="64" t="s">
        <v>69</v>
      </c>
      <c r="B55" s="51" t="s">
        <v>100</v>
      </c>
    </row>
    <row r="85" spans="2:3" x14ac:dyDescent="0.2">
      <c r="B85" s="51"/>
      <c r="C85" s="51"/>
    </row>
  </sheetData>
  <autoFilter ref="B8:IH85" xr:uid="{00000000-0009-0000-0000-000006000000}"/>
  <mergeCells count="19">
    <mergeCell ref="R6:S6"/>
    <mergeCell ref="T6:U6"/>
    <mergeCell ref="V6:W6"/>
    <mergeCell ref="M3:M4"/>
    <mergeCell ref="H6:I6"/>
    <mergeCell ref="J6:K6"/>
    <mergeCell ref="L6:M6"/>
    <mergeCell ref="N6:O6"/>
    <mergeCell ref="P6:Q6"/>
    <mergeCell ref="B1:E1"/>
    <mergeCell ref="G1:M1"/>
    <mergeCell ref="B2:E5"/>
    <mergeCell ref="G2:M2"/>
    <mergeCell ref="G3:G4"/>
    <mergeCell ref="H3:H4"/>
    <mergeCell ref="I3:I4"/>
    <mergeCell ref="J3:J4"/>
    <mergeCell ref="K3:K4"/>
    <mergeCell ref="L3:L4"/>
  </mergeCells>
  <pageMargins left="0.74803149606299213" right="0.74803149606299213" top="0.98425196850393704" bottom="0.98425196850393704" header="0.51181102362204722" footer="0.51181102362204722"/>
  <pageSetup paperSize="9" scale="36" fitToHeight="0" orientation="landscape" horizontalDpi="4294967294" verticalDpi="300" r:id="rId1"/>
  <headerFooter alignWithMargins="0">
    <oddHeader>&amp;CPoänglista Whippet Tikar Nationell klass 2106</oddHeader>
    <oddFooter>&amp;Ccopyright Marie Eriksson 3 December 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BCF66-C36D-43AD-A764-91CED0F60FE1}">
  <sheetPr>
    <pageSetUpPr fitToPage="1"/>
  </sheetPr>
  <dimension ref="A1:HT57"/>
  <sheetViews>
    <sheetView tabSelected="1" zoomScaleNormal="100" workbookViewId="0">
      <pane xSplit="5" ySplit="8" topLeftCell="F24" activePane="bottomRight" state="frozen"/>
      <selection activeCell="B21" sqref="B21"/>
      <selection pane="topRight" activeCell="B21" sqref="B21"/>
      <selection pane="bottomLeft" activeCell="B21" sqref="B21"/>
      <selection pane="bottomRight" activeCell="B21" sqref="B21"/>
    </sheetView>
  </sheetViews>
  <sheetFormatPr defaultColWidth="8" defaultRowHeight="12.75" x14ac:dyDescent="0.25"/>
  <cols>
    <col min="1" max="1" width="10.140625" style="1" customWidth="1"/>
    <col min="2" max="2" width="10.42578125" style="3" customWidth="1"/>
    <col min="3" max="3" width="13.28515625" style="52" customWidth="1"/>
    <col min="4" max="4" width="29.42578125" style="1" customWidth="1"/>
    <col min="5" max="5" width="8.7109375" style="53" customWidth="1"/>
    <col min="6" max="6" width="10.28515625" style="53" bestFit="1" customWidth="1"/>
    <col min="7" max="7" width="8.85546875" style="3" customWidth="1"/>
    <col min="8" max="8" width="13.5703125" style="3" customWidth="1"/>
    <col min="9" max="9" width="14" style="3" customWidth="1"/>
    <col min="10" max="10" width="12.85546875" style="53" customWidth="1"/>
    <col min="11" max="11" width="11.5703125" style="53" customWidth="1"/>
    <col min="12" max="12" width="14.5703125" style="54" customWidth="1"/>
    <col min="13" max="13" width="13.7109375" style="54" customWidth="1"/>
    <col min="14" max="14" width="12.85546875" style="3" customWidth="1"/>
    <col min="15" max="15" width="11.28515625" style="3" customWidth="1"/>
    <col min="16" max="16" width="13.7109375" style="1" customWidth="1"/>
    <col min="17" max="17" width="11.28515625" style="1" customWidth="1"/>
    <col min="18" max="18" width="12.85546875" style="3" customWidth="1"/>
    <col min="19" max="19" width="11.28515625" style="1" customWidth="1"/>
    <col min="20" max="20" width="12.85546875" style="1" customWidth="1"/>
    <col min="21" max="21" width="11.28515625" style="1" customWidth="1"/>
    <col min="22" max="22" width="12.85546875" style="1" bestFit="1" customWidth="1"/>
    <col min="23" max="23" width="11.28515625" style="3" bestFit="1" customWidth="1"/>
    <col min="24" max="16384" width="8" style="1"/>
  </cols>
  <sheetData>
    <row r="1" spans="1:228" ht="43.5" customHeight="1" x14ac:dyDescent="0.25">
      <c r="B1" s="96" t="s">
        <v>101</v>
      </c>
      <c r="C1" s="97"/>
      <c r="D1" s="97"/>
      <c r="E1" s="97"/>
      <c r="F1" s="2"/>
      <c r="G1" s="108" t="s">
        <v>102</v>
      </c>
      <c r="H1" s="109"/>
      <c r="I1" s="109"/>
      <c r="J1" s="109"/>
      <c r="K1" s="109"/>
      <c r="L1" s="109"/>
      <c r="M1" s="109"/>
    </row>
    <row r="2" spans="1:228" ht="27.75" customHeight="1" x14ac:dyDescent="0.25">
      <c r="B2" s="99" t="s">
        <v>2</v>
      </c>
      <c r="C2" s="100"/>
      <c r="D2" s="100"/>
      <c r="E2" s="100"/>
      <c r="F2" s="4"/>
      <c r="G2" s="110" t="s">
        <v>103</v>
      </c>
      <c r="H2" s="110"/>
      <c r="I2" s="110"/>
      <c r="J2" s="110"/>
      <c r="K2" s="110"/>
      <c r="L2" s="110"/>
      <c r="M2" s="110"/>
    </row>
    <row r="3" spans="1:228" ht="12.75" customHeight="1" x14ac:dyDescent="0.25">
      <c r="B3" s="100"/>
      <c r="C3" s="100"/>
      <c r="D3" s="100"/>
      <c r="E3" s="100"/>
      <c r="F3" s="4"/>
      <c r="G3" s="102" t="s">
        <v>4</v>
      </c>
      <c r="H3" s="103" t="s">
        <v>5</v>
      </c>
      <c r="I3" s="104" t="s">
        <v>6</v>
      </c>
      <c r="J3" s="105" t="s">
        <v>7</v>
      </c>
      <c r="K3" s="106" t="s">
        <v>8</v>
      </c>
      <c r="L3" s="107" t="s">
        <v>9</v>
      </c>
      <c r="M3" s="94" t="s">
        <v>10</v>
      </c>
    </row>
    <row r="4" spans="1:228" ht="24" customHeight="1" x14ac:dyDescent="0.25">
      <c r="B4" s="100"/>
      <c r="C4" s="100"/>
      <c r="D4" s="100"/>
      <c r="E4" s="100"/>
      <c r="F4" s="4"/>
      <c r="G4" s="102"/>
      <c r="H4" s="103"/>
      <c r="I4" s="104"/>
      <c r="J4" s="105"/>
      <c r="K4" s="106"/>
      <c r="L4" s="107"/>
      <c r="M4" s="94"/>
    </row>
    <row r="5" spans="1:228" s="5" customFormat="1" ht="19.5" customHeight="1" x14ac:dyDescent="0.25">
      <c r="B5" s="100"/>
      <c r="C5" s="100"/>
      <c r="D5" s="100"/>
      <c r="E5" s="100"/>
      <c r="F5" s="4"/>
      <c r="G5" s="6"/>
      <c r="H5" s="7"/>
      <c r="I5" s="7"/>
      <c r="J5" s="8"/>
      <c r="K5" s="8"/>
      <c r="L5" s="9"/>
      <c r="M5" s="9"/>
      <c r="N5" s="7"/>
      <c r="O5" s="7"/>
      <c r="R5" s="7"/>
      <c r="W5" s="7"/>
    </row>
    <row r="6" spans="1:228" s="5" customFormat="1" ht="46.5" customHeight="1" x14ac:dyDescent="0.25">
      <c r="B6" s="10"/>
      <c r="C6" s="10"/>
      <c r="D6" s="11" t="s">
        <v>454</v>
      </c>
      <c r="E6" s="12"/>
      <c r="F6" s="11" t="s">
        <v>104</v>
      </c>
      <c r="G6" s="13"/>
      <c r="H6" s="92" t="s">
        <v>105</v>
      </c>
      <c r="I6" s="93"/>
      <c r="J6" s="92" t="s">
        <v>105</v>
      </c>
      <c r="K6" s="95"/>
      <c r="L6" s="92" t="s">
        <v>106</v>
      </c>
      <c r="M6" s="93"/>
      <c r="N6" s="92" t="s">
        <v>107</v>
      </c>
      <c r="O6" s="93"/>
      <c r="P6" s="92" t="s">
        <v>15</v>
      </c>
      <c r="Q6" s="93"/>
      <c r="R6" s="92" t="s">
        <v>108</v>
      </c>
      <c r="S6" s="93"/>
      <c r="T6" s="92" t="s">
        <v>17</v>
      </c>
      <c r="U6" s="93"/>
      <c r="V6" s="92" t="s">
        <v>18</v>
      </c>
      <c r="W6" s="93"/>
    </row>
    <row r="7" spans="1:228" s="5" customFormat="1" ht="22.5" x14ac:dyDescent="0.25">
      <c r="A7" s="14" t="s">
        <v>19</v>
      </c>
      <c r="B7" s="14" t="s">
        <v>20</v>
      </c>
      <c r="C7" s="15" t="s">
        <v>21</v>
      </c>
      <c r="D7" s="16"/>
      <c r="E7" s="17"/>
      <c r="F7" s="55" t="s">
        <v>109</v>
      </c>
      <c r="G7" s="18" t="s">
        <v>23</v>
      </c>
      <c r="H7" s="19">
        <v>43197</v>
      </c>
      <c r="I7" s="20" t="s">
        <v>110</v>
      </c>
      <c r="J7" s="19">
        <v>43204</v>
      </c>
      <c r="K7" s="20" t="s">
        <v>27</v>
      </c>
      <c r="L7" s="19">
        <v>43232</v>
      </c>
      <c r="M7" s="20" t="s">
        <v>111</v>
      </c>
      <c r="N7" s="19">
        <v>43260</v>
      </c>
      <c r="O7" s="20" t="s">
        <v>112</v>
      </c>
      <c r="P7" s="19">
        <v>43296</v>
      </c>
      <c r="Q7" s="20" t="s">
        <v>113</v>
      </c>
      <c r="R7" s="19">
        <v>43358</v>
      </c>
      <c r="S7" s="20" t="s">
        <v>112</v>
      </c>
      <c r="T7" s="19">
        <v>43372</v>
      </c>
      <c r="U7" s="20" t="s">
        <v>114</v>
      </c>
      <c r="V7" s="19">
        <v>43380</v>
      </c>
      <c r="W7" s="20" t="s">
        <v>115</v>
      </c>
    </row>
    <row r="8" spans="1:228" s="27" customFormat="1" x14ac:dyDescent="0.25">
      <c r="A8" s="21" t="s">
        <v>116</v>
      </c>
      <c r="B8" s="21" t="s">
        <v>31</v>
      </c>
      <c r="C8" s="22" t="s">
        <v>32</v>
      </c>
      <c r="D8" s="23" t="s">
        <v>33</v>
      </c>
      <c r="E8" s="24" t="s">
        <v>34</v>
      </c>
      <c r="F8" s="25"/>
      <c r="G8" s="25" t="s">
        <v>36</v>
      </c>
      <c r="H8" s="26" t="s">
        <v>31</v>
      </c>
      <c r="I8" s="26" t="s">
        <v>37</v>
      </c>
      <c r="J8" s="26" t="s">
        <v>31</v>
      </c>
      <c r="K8" s="26" t="s">
        <v>37</v>
      </c>
      <c r="L8" s="26" t="s">
        <v>31</v>
      </c>
      <c r="M8" s="26" t="s">
        <v>37</v>
      </c>
      <c r="N8" s="26" t="s">
        <v>31</v>
      </c>
      <c r="O8" s="26" t="s">
        <v>37</v>
      </c>
      <c r="P8" s="26" t="s">
        <v>31</v>
      </c>
      <c r="Q8" s="26" t="s">
        <v>37</v>
      </c>
      <c r="R8" s="26" t="s">
        <v>31</v>
      </c>
      <c r="S8" s="26" t="s">
        <v>37</v>
      </c>
      <c r="T8" s="26" t="s">
        <v>31</v>
      </c>
      <c r="U8" s="26" t="s">
        <v>37</v>
      </c>
      <c r="V8" s="26" t="s">
        <v>31</v>
      </c>
      <c r="W8" s="26" t="s">
        <v>37</v>
      </c>
    </row>
    <row r="9" spans="1:228" s="27" customFormat="1" ht="18" customHeight="1" x14ac:dyDescent="0.25">
      <c r="A9" s="28" t="s">
        <v>38</v>
      </c>
      <c r="B9" s="40">
        <v>1</v>
      </c>
      <c r="C9" s="29" t="s">
        <v>117</v>
      </c>
      <c r="D9" s="30" t="s">
        <v>118</v>
      </c>
      <c r="E9" s="43" t="s">
        <v>41</v>
      </c>
      <c r="F9" s="56" t="s">
        <v>119</v>
      </c>
      <c r="G9" s="33">
        <f t="shared" ref="G9:G28" si="0">I9+K9+M9+O9+Q9+S9+U9+W9</f>
        <v>104</v>
      </c>
      <c r="H9" s="35"/>
      <c r="I9" s="35"/>
      <c r="J9" s="28">
        <v>12</v>
      </c>
      <c r="K9" s="28">
        <f>(15-J9)</f>
        <v>3</v>
      </c>
      <c r="L9" s="28" t="s">
        <v>69</v>
      </c>
      <c r="M9" s="28">
        <v>0</v>
      </c>
      <c r="N9" s="35"/>
      <c r="O9" s="35"/>
      <c r="P9" s="35"/>
      <c r="Q9" s="35"/>
      <c r="R9" s="45">
        <v>1</v>
      </c>
      <c r="S9" s="28">
        <f>20+(6-R9)</f>
        <v>25</v>
      </c>
      <c r="T9" s="31">
        <v>1</v>
      </c>
      <c r="U9" s="28">
        <f>20+(20-T9)</f>
        <v>39</v>
      </c>
      <c r="V9" s="31">
        <v>3</v>
      </c>
      <c r="W9" s="28">
        <f>16+(24-V9)</f>
        <v>37</v>
      </c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R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C9" s="38"/>
      <c r="ED9" s="38"/>
      <c r="EE9" s="38"/>
      <c r="EF9" s="38"/>
      <c r="EG9" s="38"/>
      <c r="EH9" s="38"/>
      <c r="EI9" s="38"/>
      <c r="EJ9" s="38"/>
      <c r="EK9" s="38"/>
      <c r="EL9" s="38"/>
      <c r="EM9" s="38"/>
      <c r="EN9" s="38"/>
      <c r="EO9" s="38"/>
      <c r="EP9" s="38"/>
      <c r="EQ9" s="38"/>
      <c r="ER9" s="38"/>
      <c r="ES9" s="38"/>
      <c r="ET9" s="38"/>
      <c r="EU9" s="38"/>
      <c r="EV9" s="38"/>
      <c r="EW9" s="38"/>
      <c r="EX9" s="38"/>
      <c r="EY9" s="38"/>
      <c r="EZ9" s="38"/>
      <c r="FA9" s="38"/>
      <c r="FB9" s="38"/>
      <c r="FC9" s="38"/>
      <c r="FD9" s="38"/>
      <c r="FE9" s="38"/>
      <c r="FF9" s="38"/>
      <c r="FG9" s="38"/>
      <c r="FH9" s="38"/>
      <c r="FI9" s="38"/>
      <c r="FJ9" s="38"/>
      <c r="FK9" s="38"/>
      <c r="FL9" s="38"/>
      <c r="FM9" s="38"/>
      <c r="FN9" s="38"/>
      <c r="FO9" s="38"/>
      <c r="FP9" s="38"/>
      <c r="FQ9" s="38"/>
      <c r="FR9" s="38"/>
      <c r="FS9" s="38"/>
      <c r="FT9" s="38"/>
      <c r="FU9" s="38"/>
      <c r="FV9" s="38"/>
      <c r="FW9" s="38"/>
      <c r="FX9" s="38"/>
      <c r="FY9" s="38"/>
      <c r="FZ9" s="38"/>
      <c r="GA9" s="38"/>
      <c r="GB9" s="38"/>
      <c r="GC9" s="38"/>
      <c r="GD9" s="38"/>
      <c r="GE9" s="38"/>
      <c r="GF9" s="38"/>
      <c r="GG9" s="38"/>
      <c r="GH9" s="38"/>
      <c r="GI9" s="38"/>
      <c r="GJ9" s="38"/>
      <c r="GK9" s="38"/>
      <c r="GL9" s="38"/>
      <c r="GM9" s="38"/>
      <c r="GN9" s="38"/>
      <c r="GO9" s="38"/>
      <c r="GP9" s="38"/>
      <c r="GQ9" s="38"/>
      <c r="GR9" s="38"/>
      <c r="GS9" s="38"/>
      <c r="GT9" s="38"/>
      <c r="GU9" s="38"/>
      <c r="GV9" s="38"/>
      <c r="GW9" s="38"/>
      <c r="GX9" s="38"/>
      <c r="GY9" s="38"/>
      <c r="GZ9" s="38"/>
      <c r="HA9" s="38"/>
      <c r="HB9" s="38"/>
      <c r="HC9" s="38"/>
      <c r="HD9" s="38"/>
      <c r="HE9" s="38"/>
      <c r="HF9" s="38"/>
      <c r="HG9" s="38"/>
      <c r="HH9" s="38"/>
      <c r="HI9" s="38"/>
      <c r="HJ9" s="38"/>
      <c r="HK9" s="38"/>
      <c r="HL9" s="38"/>
      <c r="HM9" s="38"/>
      <c r="HN9" s="38"/>
      <c r="HO9" s="38"/>
      <c r="HP9" s="38"/>
      <c r="HQ9" s="38"/>
      <c r="HR9" s="38"/>
      <c r="HS9" s="38"/>
      <c r="HT9" s="38"/>
    </row>
    <row r="10" spans="1:228" s="38" customFormat="1" ht="18.75" customHeight="1" x14ac:dyDescent="0.25">
      <c r="A10" s="28" t="s">
        <v>43</v>
      </c>
      <c r="B10" s="40">
        <v>2</v>
      </c>
      <c r="C10" s="29" t="s">
        <v>120</v>
      </c>
      <c r="D10" s="30" t="s">
        <v>121</v>
      </c>
      <c r="E10" s="34" t="s">
        <v>41</v>
      </c>
      <c r="F10" s="56" t="s">
        <v>122</v>
      </c>
      <c r="G10" s="33">
        <f t="shared" si="0"/>
        <v>100</v>
      </c>
      <c r="H10" s="31">
        <v>1</v>
      </c>
      <c r="I10" s="28">
        <f>20+(14-H10)</f>
        <v>33</v>
      </c>
      <c r="J10" s="28">
        <v>11</v>
      </c>
      <c r="K10" s="28">
        <f>(15-J10)</f>
        <v>4</v>
      </c>
      <c r="L10" s="31">
        <v>2</v>
      </c>
      <c r="M10" s="28">
        <f>18+(18-L10)</f>
        <v>34</v>
      </c>
      <c r="N10" s="35"/>
      <c r="O10" s="35"/>
      <c r="P10" s="28">
        <v>7</v>
      </c>
      <c r="Q10" s="28">
        <f>8+(21-P10)</f>
        <v>22</v>
      </c>
      <c r="R10" s="35"/>
      <c r="S10" s="35"/>
      <c r="T10" s="35"/>
      <c r="U10" s="35"/>
      <c r="V10" s="28">
        <v>17</v>
      </c>
      <c r="W10" s="28">
        <f>(24-V10)</f>
        <v>7</v>
      </c>
    </row>
    <row r="11" spans="1:228" s="38" customFormat="1" ht="21" customHeight="1" x14ac:dyDescent="0.25">
      <c r="A11" s="28" t="s">
        <v>47</v>
      </c>
      <c r="B11" s="40">
        <v>3</v>
      </c>
      <c r="C11" s="29" t="s">
        <v>123</v>
      </c>
      <c r="D11" s="29" t="s">
        <v>124</v>
      </c>
      <c r="E11" s="31" t="s">
        <v>41</v>
      </c>
      <c r="F11" s="32" t="s">
        <v>125</v>
      </c>
      <c r="G11" s="33">
        <f t="shared" si="0"/>
        <v>96</v>
      </c>
      <c r="H11" s="31">
        <v>3</v>
      </c>
      <c r="I11" s="28">
        <f>16+(14-H11)</f>
        <v>27</v>
      </c>
      <c r="J11" s="31">
        <v>2</v>
      </c>
      <c r="K11" s="28">
        <f>18+(15-J11)</f>
        <v>31</v>
      </c>
      <c r="L11" s="35"/>
      <c r="M11" s="35"/>
      <c r="N11" s="35"/>
      <c r="O11" s="35"/>
      <c r="P11" s="35"/>
      <c r="Q11" s="35"/>
      <c r="R11" s="35"/>
      <c r="S11" s="35"/>
      <c r="T11" s="31">
        <v>3</v>
      </c>
      <c r="U11" s="28">
        <f>16+(20-T11)</f>
        <v>33</v>
      </c>
      <c r="V11" s="28">
        <v>19</v>
      </c>
      <c r="W11" s="28">
        <f>(24-V11)</f>
        <v>5</v>
      </c>
    </row>
    <row r="12" spans="1:228" s="38" customFormat="1" ht="18.75" customHeight="1" x14ac:dyDescent="0.25">
      <c r="A12" s="28" t="s">
        <v>50</v>
      </c>
      <c r="B12" s="40">
        <v>4</v>
      </c>
      <c r="C12" s="29" t="s">
        <v>126</v>
      </c>
      <c r="D12" s="30" t="s">
        <v>127</v>
      </c>
      <c r="E12" s="43" t="s">
        <v>41</v>
      </c>
      <c r="F12" s="57" t="s">
        <v>128</v>
      </c>
      <c r="G12" s="33">
        <f t="shared" si="0"/>
        <v>92</v>
      </c>
      <c r="H12" s="35"/>
      <c r="I12" s="35"/>
      <c r="J12" s="35"/>
      <c r="K12" s="35"/>
      <c r="L12" s="35"/>
      <c r="M12" s="35"/>
      <c r="N12" s="31">
        <v>2</v>
      </c>
      <c r="O12" s="28">
        <f>18+(6-N12)</f>
        <v>22</v>
      </c>
      <c r="P12" s="45">
        <v>3</v>
      </c>
      <c r="Q12" s="28">
        <f>16+(21-P12)</f>
        <v>34</v>
      </c>
      <c r="R12" s="35"/>
      <c r="S12" s="35"/>
      <c r="T12" s="31">
        <v>2</v>
      </c>
      <c r="U12" s="28">
        <f>18+(20-T12)</f>
        <v>36</v>
      </c>
      <c r="V12" s="35"/>
      <c r="W12" s="35"/>
      <c r="HT12" s="1"/>
    </row>
    <row r="13" spans="1:228" s="38" customFormat="1" ht="18.75" customHeight="1" x14ac:dyDescent="0.25">
      <c r="A13" s="28" t="s">
        <v>53</v>
      </c>
      <c r="B13" s="40">
        <v>5</v>
      </c>
      <c r="C13" s="29" t="s">
        <v>129</v>
      </c>
      <c r="D13" s="30" t="s">
        <v>130</v>
      </c>
      <c r="E13" s="34" t="s">
        <v>41</v>
      </c>
      <c r="F13" s="57" t="s">
        <v>131</v>
      </c>
      <c r="G13" s="33">
        <f t="shared" si="0"/>
        <v>76</v>
      </c>
      <c r="H13" s="35"/>
      <c r="I13" s="35"/>
      <c r="J13" s="35"/>
      <c r="K13" s="35"/>
      <c r="L13" s="35"/>
      <c r="M13" s="35"/>
      <c r="N13" s="28">
        <v>4</v>
      </c>
      <c r="O13" s="28">
        <f>14+(6-N13)</f>
        <v>16</v>
      </c>
      <c r="P13" s="28">
        <v>5</v>
      </c>
      <c r="Q13" s="28">
        <f>12+(21-P13)</f>
        <v>28</v>
      </c>
      <c r="R13" s="31">
        <v>2</v>
      </c>
      <c r="S13" s="28">
        <f>18+(6-R13)</f>
        <v>22</v>
      </c>
      <c r="T13" s="35"/>
      <c r="U13" s="35"/>
      <c r="V13" s="28">
        <v>14</v>
      </c>
      <c r="W13" s="28">
        <f>(24-V13)</f>
        <v>10</v>
      </c>
    </row>
    <row r="14" spans="1:228" s="38" customFormat="1" ht="21" customHeight="1" x14ac:dyDescent="0.25">
      <c r="A14" s="28" t="s">
        <v>56</v>
      </c>
      <c r="B14" s="40">
        <v>6</v>
      </c>
      <c r="C14" s="29" t="s">
        <v>132</v>
      </c>
      <c r="D14" s="30" t="s">
        <v>133</v>
      </c>
      <c r="E14" s="31" t="s">
        <v>41</v>
      </c>
      <c r="F14" s="50" t="s">
        <v>134</v>
      </c>
      <c r="G14" s="33">
        <f t="shared" si="0"/>
        <v>74</v>
      </c>
      <c r="H14" s="35"/>
      <c r="I14" s="35"/>
      <c r="J14" s="31">
        <v>3</v>
      </c>
      <c r="K14" s="28">
        <f>16+(15-J14)</f>
        <v>28</v>
      </c>
      <c r="L14" s="31">
        <v>2</v>
      </c>
      <c r="M14" s="28">
        <f>18+(18-L14)</f>
        <v>34</v>
      </c>
      <c r="N14" s="35"/>
      <c r="O14" s="35"/>
      <c r="P14" s="35"/>
      <c r="Q14" s="35"/>
      <c r="R14" s="35"/>
      <c r="S14" s="35"/>
      <c r="T14" s="35"/>
      <c r="U14" s="35"/>
      <c r="V14" s="28">
        <v>12</v>
      </c>
      <c r="W14" s="28">
        <f>(24-V14)</f>
        <v>12</v>
      </c>
      <c r="HT14" s="27"/>
    </row>
    <row r="15" spans="1:228" s="38" customFormat="1" ht="18" customHeight="1" x14ac:dyDescent="0.25">
      <c r="A15" s="28" t="s">
        <v>59</v>
      </c>
      <c r="B15" s="40">
        <v>7</v>
      </c>
      <c r="C15" s="29" t="s">
        <v>135</v>
      </c>
      <c r="D15" s="30" t="s">
        <v>136</v>
      </c>
      <c r="E15" s="34" t="s">
        <v>41</v>
      </c>
      <c r="F15" s="56" t="s">
        <v>134</v>
      </c>
      <c r="G15" s="33">
        <f t="shared" si="0"/>
        <v>72</v>
      </c>
      <c r="H15" s="35"/>
      <c r="I15" s="35"/>
      <c r="J15" s="35"/>
      <c r="K15" s="35"/>
      <c r="L15" s="31">
        <v>4</v>
      </c>
      <c r="M15" s="28">
        <f>14+(18-L15)</f>
        <v>28</v>
      </c>
      <c r="N15" s="35"/>
      <c r="O15" s="35"/>
      <c r="P15" s="28">
        <v>5</v>
      </c>
      <c r="Q15" s="28">
        <f>12+(21-P15)</f>
        <v>28</v>
      </c>
      <c r="R15" s="35"/>
      <c r="S15" s="35"/>
      <c r="T15" s="35"/>
      <c r="U15" s="35"/>
      <c r="V15" s="28">
        <v>10</v>
      </c>
      <c r="W15" s="28">
        <f>2+(24-V15)</f>
        <v>16</v>
      </c>
    </row>
    <row r="16" spans="1:228" s="38" customFormat="1" ht="22.5" x14ac:dyDescent="0.25">
      <c r="A16" s="32" t="s">
        <v>137</v>
      </c>
      <c r="B16" s="40">
        <v>8</v>
      </c>
      <c r="C16" s="30" t="s">
        <v>138</v>
      </c>
      <c r="D16" s="30" t="s">
        <v>139</v>
      </c>
      <c r="E16" s="48" t="s">
        <v>41</v>
      </c>
      <c r="F16" s="44" t="s">
        <v>140</v>
      </c>
      <c r="G16" s="33">
        <f t="shared" si="0"/>
        <v>71</v>
      </c>
      <c r="H16" s="35"/>
      <c r="I16" s="35"/>
      <c r="J16" s="35"/>
      <c r="K16" s="35"/>
      <c r="L16" s="35"/>
      <c r="M16" s="35"/>
      <c r="N16" s="35"/>
      <c r="O16" s="35"/>
      <c r="P16" s="28">
        <v>10</v>
      </c>
      <c r="Q16" s="28">
        <f>2+(21-P16)</f>
        <v>13</v>
      </c>
      <c r="R16" s="35"/>
      <c r="S16" s="35"/>
      <c r="T16" s="31">
        <v>4</v>
      </c>
      <c r="U16" s="28">
        <f>14+(20-T16)</f>
        <v>30</v>
      </c>
      <c r="V16" s="28">
        <v>6</v>
      </c>
      <c r="W16" s="28">
        <f>10+(24-V16)</f>
        <v>28</v>
      </c>
    </row>
    <row r="17" spans="1:228" s="38" customFormat="1" ht="18.75" customHeight="1" x14ac:dyDescent="0.25">
      <c r="A17" s="28" t="s">
        <v>66</v>
      </c>
      <c r="B17" s="40">
        <v>9</v>
      </c>
      <c r="C17" s="29" t="s">
        <v>141</v>
      </c>
      <c r="D17" s="30" t="s">
        <v>142</v>
      </c>
      <c r="E17" s="34" t="s">
        <v>41</v>
      </c>
      <c r="F17" s="40" t="s">
        <v>122</v>
      </c>
      <c r="G17" s="33">
        <f t="shared" si="0"/>
        <v>70</v>
      </c>
      <c r="H17" s="28">
        <v>11</v>
      </c>
      <c r="I17" s="28">
        <f>(14-H17)</f>
        <v>3</v>
      </c>
      <c r="J17" s="31">
        <v>3</v>
      </c>
      <c r="K17" s="28">
        <f>16+(15-J17)</f>
        <v>28</v>
      </c>
      <c r="L17" s="35"/>
      <c r="M17" s="35"/>
      <c r="N17" s="35"/>
      <c r="O17" s="35"/>
      <c r="P17" s="28">
        <v>15</v>
      </c>
      <c r="Q17" s="28">
        <f>(21-P17)</f>
        <v>6</v>
      </c>
      <c r="R17" s="35"/>
      <c r="S17" s="35"/>
      <c r="T17" s="28">
        <v>12</v>
      </c>
      <c r="U17" s="28">
        <f>(20-T17)</f>
        <v>8</v>
      </c>
      <c r="V17" s="28">
        <v>7</v>
      </c>
      <c r="W17" s="28">
        <f>8+(24-V17)</f>
        <v>25</v>
      </c>
      <c r="HT17" s="1"/>
    </row>
    <row r="18" spans="1:228" ht="22.5" x14ac:dyDescent="0.25">
      <c r="A18" s="32" t="s">
        <v>143</v>
      </c>
      <c r="B18" s="40">
        <v>10</v>
      </c>
      <c r="C18" s="30" t="s">
        <v>144</v>
      </c>
      <c r="D18" s="30" t="s">
        <v>145</v>
      </c>
      <c r="E18" s="48" t="s">
        <v>41</v>
      </c>
      <c r="F18" s="44" t="s">
        <v>140</v>
      </c>
      <c r="G18" s="33">
        <f t="shared" si="0"/>
        <v>68</v>
      </c>
      <c r="H18" s="35"/>
      <c r="I18" s="35"/>
      <c r="J18" s="35"/>
      <c r="K18" s="35"/>
      <c r="L18" s="35"/>
      <c r="M18" s="35"/>
      <c r="N18" s="35"/>
      <c r="O18" s="35"/>
      <c r="P18" s="31">
        <v>2</v>
      </c>
      <c r="Q18" s="28">
        <f>18+(21-P18)</f>
        <v>37</v>
      </c>
      <c r="R18" s="35"/>
      <c r="S18" s="35"/>
      <c r="T18" s="35"/>
      <c r="U18" s="35"/>
      <c r="V18" s="31">
        <v>5</v>
      </c>
      <c r="W18" s="28">
        <f>12+(24-V18)</f>
        <v>31</v>
      </c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8"/>
      <c r="DL18" s="38"/>
      <c r="DM18" s="38"/>
      <c r="DN18" s="38"/>
      <c r="DO18" s="38"/>
      <c r="DP18" s="38"/>
      <c r="DQ18" s="38"/>
      <c r="DR18" s="38"/>
      <c r="DS18" s="38"/>
      <c r="DT18" s="38"/>
      <c r="DU18" s="38"/>
      <c r="DV18" s="38"/>
      <c r="DW18" s="38"/>
      <c r="DX18" s="38"/>
      <c r="DY18" s="38"/>
      <c r="DZ18" s="38"/>
      <c r="EA18" s="38"/>
      <c r="EB18" s="38"/>
      <c r="EC18" s="38"/>
      <c r="ED18" s="38"/>
      <c r="EE18" s="38"/>
      <c r="EF18" s="38"/>
      <c r="EG18" s="38"/>
      <c r="EH18" s="38"/>
      <c r="EI18" s="38"/>
      <c r="EJ18" s="38"/>
      <c r="EK18" s="38"/>
      <c r="EL18" s="38"/>
      <c r="EM18" s="38"/>
      <c r="EN18" s="38"/>
      <c r="EO18" s="38"/>
      <c r="EP18" s="38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  <c r="HL18" s="38"/>
      <c r="HM18" s="38"/>
      <c r="HN18" s="38"/>
      <c r="HO18" s="38"/>
      <c r="HP18" s="38"/>
      <c r="HQ18" s="38"/>
      <c r="HR18" s="38"/>
      <c r="HS18" s="38"/>
      <c r="HT18" s="38"/>
    </row>
    <row r="19" spans="1:228" s="38" customFormat="1" ht="18.75" customHeight="1" x14ac:dyDescent="0.25">
      <c r="A19" s="28" t="s">
        <v>76</v>
      </c>
      <c r="B19" s="40">
        <v>11</v>
      </c>
      <c r="C19" s="29" t="s">
        <v>146</v>
      </c>
      <c r="D19" s="30" t="s">
        <v>147</v>
      </c>
      <c r="E19" s="34" t="s">
        <v>41</v>
      </c>
      <c r="F19" s="28" t="s">
        <v>119</v>
      </c>
      <c r="G19" s="33">
        <f t="shared" si="0"/>
        <v>67</v>
      </c>
      <c r="H19" s="28">
        <v>6</v>
      </c>
      <c r="I19" s="28">
        <f>10+(14-H19)</f>
        <v>18</v>
      </c>
      <c r="J19" s="31">
        <v>3</v>
      </c>
      <c r="K19" s="28">
        <f>16+(15-J19)</f>
        <v>28</v>
      </c>
      <c r="L19" s="28">
        <v>12</v>
      </c>
      <c r="M19" s="28">
        <f>(18-L19)</f>
        <v>6</v>
      </c>
      <c r="N19" s="35"/>
      <c r="O19" s="35"/>
      <c r="P19" s="35"/>
      <c r="Q19" s="35"/>
      <c r="R19" s="35"/>
      <c r="S19" s="35"/>
      <c r="T19" s="28">
        <v>9</v>
      </c>
      <c r="U19" s="28">
        <f>4+(20-T19)</f>
        <v>15</v>
      </c>
      <c r="V19" s="35"/>
      <c r="W19" s="35"/>
    </row>
    <row r="20" spans="1:228" s="38" customFormat="1" ht="22.5" x14ac:dyDescent="0.25">
      <c r="A20" s="32" t="s">
        <v>148</v>
      </c>
      <c r="B20" s="40">
        <v>12</v>
      </c>
      <c r="C20" s="29" t="s">
        <v>149</v>
      </c>
      <c r="D20" s="30" t="s">
        <v>150</v>
      </c>
      <c r="E20" s="31" t="s">
        <v>41</v>
      </c>
      <c r="F20" s="44" t="s">
        <v>140</v>
      </c>
      <c r="G20" s="33">
        <f t="shared" si="0"/>
        <v>66</v>
      </c>
      <c r="H20" s="35"/>
      <c r="I20" s="35"/>
      <c r="J20" s="35"/>
      <c r="K20" s="35"/>
      <c r="L20" s="31">
        <v>6</v>
      </c>
      <c r="M20" s="28">
        <f>10+(18-L20)</f>
        <v>22</v>
      </c>
      <c r="N20" s="35"/>
      <c r="O20" s="35"/>
      <c r="P20" s="28">
        <v>13</v>
      </c>
      <c r="Q20" s="28">
        <f>(21-P20)</f>
        <v>8</v>
      </c>
      <c r="R20" s="35"/>
      <c r="S20" s="35"/>
      <c r="T20" s="31">
        <v>6</v>
      </c>
      <c r="U20" s="28">
        <f>10+(20-T20)</f>
        <v>24</v>
      </c>
      <c r="V20" s="28">
        <v>12</v>
      </c>
      <c r="W20" s="28">
        <f>(24-V20)</f>
        <v>12</v>
      </c>
    </row>
    <row r="21" spans="1:228" s="38" customFormat="1" ht="20.25" customHeight="1" x14ac:dyDescent="0.25">
      <c r="A21" s="32" t="s">
        <v>455</v>
      </c>
      <c r="B21" s="40">
        <v>13</v>
      </c>
      <c r="C21" s="30" t="s">
        <v>456</v>
      </c>
      <c r="D21" s="30" t="s">
        <v>457</v>
      </c>
      <c r="E21" s="31" t="s">
        <v>41</v>
      </c>
      <c r="F21" s="44" t="s">
        <v>140</v>
      </c>
      <c r="G21" s="33">
        <f>I21+K21+M21+O21+Q21+S21+U21+W21</f>
        <v>64</v>
      </c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28">
        <v>7</v>
      </c>
      <c r="U21" s="28">
        <f>8+(20-T21)</f>
        <v>21</v>
      </c>
      <c r="V21" s="31">
        <v>1</v>
      </c>
      <c r="W21" s="28">
        <f>20+(24-V21)</f>
        <v>43</v>
      </c>
      <c r="HT21" s="1"/>
    </row>
    <row r="22" spans="1:228" s="38" customFormat="1" ht="18.75" customHeight="1" x14ac:dyDescent="0.25">
      <c r="A22" s="28" t="s">
        <v>86</v>
      </c>
      <c r="B22" s="40">
        <v>14</v>
      </c>
      <c r="C22" s="30" t="s">
        <v>151</v>
      </c>
      <c r="D22" s="30" t="s">
        <v>152</v>
      </c>
      <c r="E22" s="58" t="s">
        <v>41</v>
      </c>
      <c r="F22" s="32" t="s">
        <v>122</v>
      </c>
      <c r="G22" s="33">
        <f t="shared" si="0"/>
        <v>64</v>
      </c>
      <c r="H22" s="46">
        <v>2</v>
      </c>
      <c r="I22" s="28">
        <f>18+(14-H22)</f>
        <v>30</v>
      </c>
      <c r="J22" s="31">
        <v>1</v>
      </c>
      <c r="K22" s="28">
        <f>20+(15-J22)</f>
        <v>34</v>
      </c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HT22" s="1"/>
    </row>
    <row r="23" spans="1:228" ht="19.5" customHeight="1" x14ac:dyDescent="0.25">
      <c r="A23" s="28" t="s">
        <v>155</v>
      </c>
      <c r="B23" s="40">
        <v>15</v>
      </c>
      <c r="C23" s="29" t="s">
        <v>153</v>
      </c>
      <c r="D23" s="30" t="s">
        <v>154</v>
      </c>
      <c r="E23" s="31" t="s">
        <v>41</v>
      </c>
      <c r="F23" s="28" t="s">
        <v>122</v>
      </c>
      <c r="G23" s="33">
        <f t="shared" si="0"/>
        <v>59</v>
      </c>
      <c r="H23" s="35"/>
      <c r="I23" s="35"/>
      <c r="J23" s="28">
        <v>7</v>
      </c>
      <c r="K23" s="28">
        <f>8+(15-J23)</f>
        <v>16</v>
      </c>
      <c r="L23" s="31">
        <v>8</v>
      </c>
      <c r="M23" s="28">
        <f>6+(18-L23)</f>
        <v>16</v>
      </c>
      <c r="N23" s="35"/>
      <c r="O23" s="35"/>
      <c r="P23" s="35"/>
      <c r="Q23" s="35"/>
      <c r="R23" s="35"/>
      <c r="S23" s="35"/>
      <c r="T23" s="31">
        <v>5</v>
      </c>
      <c r="U23" s="28">
        <f>12+(20-T23)</f>
        <v>27</v>
      </c>
      <c r="V23" s="35"/>
      <c r="W23" s="35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38"/>
      <c r="DB23" s="38"/>
      <c r="DC23" s="38"/>
      <c r="DD23" s="38"/>
      <c r="DE23" s="38"/>
      <c r="DF23" s="38"/>
      <c r="DG23" s="38"/>
      <c r="DH23" s="38"/>
      <c r="DI23" s="38"/>
      <c r="DJ23" s="38"/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  <c r="GK23" s="38"/>
      <c r="GL23" s="38"/>
      <c r="GM23" s="38"/>
      <c r="GN23" s="38"/>
      <c r="GO23" s="38"/>
      <c r="GP23" s="38"/>
      <c r="GQ23" s="38"/>
      <c r="GR23" s="38"/>
      <c r="GS23" s="38"/>
      <c r="GT23" s="38"/>
      <c r="GU23" s="38"/>
      <c r="GV23" s="38"/>
      <c r="GW23" s="38"/>
      <c r="GX23" s="38"/>
      <c r="GY23" s="38"/>
      <c r="GZ23" s="38"/>
      <c r="HA23" s="38"/>
      <c r="HB23" s="38"/>
      <c r="HC23" s="38"/>
      <c r="HD23" s="38"/>
      <c r="HE23" s="38"/>
      <c r="HF23" s="38"/>
      <c r="HG23" s="38"/>
      <c r="HH23" s="38"/>
      <c r="HI23" s="38"/>
      <c r="HJ23" s="38"/>
      <c r="HK23" s="38"/>
      <c r="HL23" s="38"/>
      <c r="HM23" s="38"/>
      <c r="HN23" s="38"/>
      <c r="HO23" s="38"/>
      <c r="HP23" s="38"/>
      <c r="HQ23" s="38"/>
      <c r="HR23" s="38"/>
      <c r="HS23" s="38"/>
      <c r="HT23" s="38"/>
    </row>
    <row r="24" spans="1:228" s="38" customFormat="1" ht="18.75" customHeight="1" x14ac:dyDescent="0.25">
      <c r="A24" s="28" t="s">
        <v>158</v>
      </c>
      <c r="B24" s="40">
        <v>16</v>
      </c>
      <c r="C24" s="29" t="s">
        <v>156</v>
      </c>
      <c r="D24" s="30" t="s">
        <v>157</v>
      </c>
      <c r="E24" s="40" t="s">
        <v>41</v>
      </c>
      <c r="F24" s="28" t="s">
        <v>128</v>
      </c>
      <c r="G24" s="33">
        <f t="shared" si="0"/>
        <v>53</v>
      </c>
      <c r="H24" s="28">
        <v>9</v>
      </c>
      <c r="I24" s="28">
        <f>4+(14-H24)</f>
        <v>9</v>
      </c>
      <c r="J24" s="35"/>
      <c r="K24" s="35"/>
      <c r="L24" s="28">
        <v>10</v>
      </c>
      <c r="M24" s="28">
        <f>2+(18-L24)</f>
        <v>10</v>
      </c>
      <c r="N24" s="35"/>
      <c r="O24" s="35"/>
      <c r="P24" s="28">
        <v>8</v>
      </c>
      <c r="Q24" s="28">
        <f>6+(21-P24)</f>
        <v>19</v>
      </c>
      <c r="R24" s="35"/>
      <c r="S24" s="35"/>
      <c r="T24" s="28">
        <v>13</v>
      </c>
      <c r="U24" s="28">
        <f>(20-T24)</f>
        <v>7</v>
      </c>
      <c r="V24" s="28">
        <v>16</v>
      </c>
      <c r="W24" s="28">
        <f>(24-V24)</f>
        <v>8</v>
      </c>
      <c r="HT24" s="1"/>
    </row>
    <row r="25" spans="1:228" s="38" customFormat="1" ht="18.75" customHeight="1" x14ac:dyDescent="0.25">
      <c r="A25" s="28" t="s">
        <v>161</v>
      </c>
      <c r="B25" s="40">
        <v>17</v>
      </c>
      <c r="C25" s="29" t="s">
        <v>159</v>
      </c>
      <c r="D25" s="29" t="s">
        <v>160</v>
      </c>
      <c r="E25" s="31" t="s">
        <v>41</v>
      </c>
      <c r="F25" s="28" t="s">
        <v>128</v>
      </c>
      <c r="G25" s="33">
        <f t="shared" si="0"/>
        <v>49</v>
      </c>
      <c r="H25" s="31">
        <v>4</v>
      </c>
      <c r="I25" s="28">
        <f>14+(14-H25)</f>
        <v>24</v>
      </c>
      <c r="J25" s="31">
        <v>6</v>
      </c>
      <c r="K25" s="28">
        <f>10+(15-J25)</f>
        <v>19</v>
      </c>
      <c r="L25" s="35"/>
      <c r="M25" s="35"/>
      <c r="N25" s="35"/>
      <c r="O25" s="35"/>
      <c r="P25" s="35"/>
      <c r="Q25" s="35"/>
      <c r="R25" s="35"/>
      <c r="S25" s="35"/>
      <c r="T25" s="28">
        <v>14</v>
      </c>
      <c r="U25" s="28">
        <f>(20-T25)</f>
        <v>6</v>
      </c>
      <c r="V25" s="35"/>
      <c r="W25" s="35"/>
    </row>
    <row r="26" spans="1:228" ht="18.75" customHeight="1" x14ac:dyDescent="0.25">
      <c r="A26" s="28" t="s">
        <v>168</v>
      </c>
      <c r="B26" s="40">
        <v>18</v>
      </c>
      <c r="C26" s="29" t="s">
        <v>162</v>
      </c>
      <c r="D26" s="30" t="s">
        <v>163</v>
      </c>
      <c r="E26" s="34" t="s">
        <v>41</v>
      </c>
      <c r="F26" s="59" t="s">
        <v>140</v>
      </c>
      <c r="G26" s="33">
        <f t="shared" si="0"/>
        <v>46</v>
      </c>
      <c r="H26" s="35"/>
      <c r="I26" s="35"/>
      <c r="J26" s="35"/>
      <c r="K26" s="35"/>
      <c r="L26" s="31">
        <v>8</v>
      </c>
      <c r="M26" s="28">
        <f>6+(18-L26)</f>
        <v>16</v>
      </c>
      <c r="N26" s="35"/>
      <c r="O26" s="35"/>
      <c r="P26" s="28">
        <v>13</v>
      </c>
      <c r="Q26" s="28">
        <f>(21-P26)</f>
        <v>8</v>
      </c>
      <c r="R26" s="35"/>
      <c r="S26" s="35"/>
      <c r="T26" s="35"/>
      <c r="U26" s="35"/>
      <c r="V26" s="28">
        <v>8</v>
      </c>
      <c r="W26" s="28">
        <f>6+(24-V26)</f>
        <v>22</v>
      </c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  <c r="CV26" s="38"/>
      <c r="CW26" s="38"/>
      <c r="CX26" s="38"/>
      <c r="CY26" s="38"/>
      <c r="CZ26" s="38"/>
      <c r="DA26" s="38"/>
      <c r="DB26" s="38"/>
      <c r="DC26" s="38"/>
      <c r="DD26" s="38"/>
      <c r="DE26" s="38"/>
      <c r="DF26" s="38"/>
      <c r="DG26" s="38"/>
      <c r="DH26" s="38"/>
      <c r="DI26" s="38"/>
      <c r="DJ26" s="38"/>
      <c r="DK26" s="38"/>
      <c r="DL26" s="38"/>
      <c r="DM26" s="38"/>
      <c r="DN26" s="38"/>
      <c r="DO26" s="38"/>
      <c r="DP26" s="38"/>
      <c r="DQ26" s="38"/>
      <c r="DR26" s="38"/>
      <c r="DS26" s="38"/>
      <c r="DT26" s="38"/>
      <c r="DU26" s="38"/>
      <c r="DV26" s="38"/>
      <c r="DW26" s="38"/>
      <c r="DX26" s="38"/>
      <c r="DY26" s="38"/>
      <c r="DZ26" s="38"/>
      <c r="EA26" s="38"/>
      <c r="EB26" s="38"/>
      <c r="EC26" s="38"/>
      <c r="ED26" s="38"/>
      <c r="EE26" s="38"/>
      <c r="EF26" s="38"/>
      <c r="EG26" s="38"/>
      <c r="EH26" s="38"/>
      <c r="EI26" s="38"/>
      <c r="EJ26" s="38"/>
      <c r="EK26" s="38"/>
      <c r="EL26" s="38"/>
      <c r="EM26" s="38"/>
      <c r="EN26" s="38"/>
      <c r="EO26" s="38"/>
      <c r="EP26" s="38"/>
      <c r="EQ26" s="38"/>
      <c r="ER26" s="38"/>
      <c r="ES26" s="38"/>
      <c r="ET26" s="38"/>
      <c r="EU26" s="38"/>
      <c r="EV26" s="38"/>
      <c r="EW26" s="38"/>
      <c r="EX26" s="38"/>
      <c r="EY26" s="38"/>
      <c r="EZ26" s="38"/>
      <c r="FA26" s="38"/>
      <c r="FB26" s="38"/>
      <c r="FC26" s="38"/>
      <c r="FD26" s="38"/>
      <c r="FE26" s="38"/>
      <c r="FF26" s="38"/>
      <c r="FG26" s="38"/>
      <c r="FH26" s="38"/>
      <c r="FI26" s="38"/>
      <c r="FJ26" s="38"/>
      <c r="FK26" s="38"/>
      <c r="FL26" s="38"/>
      <c r="FM26" s="38"/>
      <c r="FN26" s="38"/>
      <c r="FO26" s="38"/>
      <c r="FP26" s="38"/>
      <c r="FQ26" s="38"/>
      <c r="FR26" s="38"/>
      <c r="FS26" s="38"/>
      <c r="FT26" s="38"/>
      <c r="FU26" s="38"/>
      <c r="FV26" s="38"/>
      <c r="FW26" s="38"/>
      <c r="FX26" s="38"/>
      <c r="FY26" s="38"/>
      <c r="FZ26" s="38"/>
      <c r="GA26" s="38"/>
      <c r="GB26" s="38"/>
      <c r="GC26" s="38"/>
      <c r="GD26" s="38"/>
      <c r="GE26" s="38"/>
      <c r="GF26" s="38"/>
      <c r="GG26" s="38"/>
      <c r="GH26" s="38"/>
      <c r="GI26" s="38"/>
      <c r="GJ26" s="38"/>
      <c r="GK26" s="38"/>
      <c r="GL26" s="38"/>
      <c r="GM26" s="38"/>
      <c r="GN26" s="38"/>
      <c r="GO26" s="38"/>
      <c r="GP26" s="38"/>
      <c r="GQ26" s="38"/>
      <c r="GR26" s="38"/>
      <c r="GS26" s="38"/>
      <c r="GT26" s="38"/>
      <c r="GU26" s="38"/>
      <c r="GV26" s="38"/>
      <c r="GW26" s="38"/>
      <c r="GX26" s="38"/>
      <c r="GY26" s="38"/>
      <c r="GZ26" s="38"/>
      <c r="HA26" s="38"/>
      <c r="HB26" s="38"/>
      <c r="HC26" s="38"/>
      <c r="HD26" s="38"/>
      <c r="HE26" s="38"/>
      <c r="HF26" s="38"/>
      <c r="HG26" s="38"/>
      <c r="HH26" s="38"/>
      <c r="HI26" s="38"/>
      <c r="HJ26" s="38"/>
      <c r="HK26" s="38"/>
      <c r="HL26" s="38"/>
      <c r="HM26" s="38"/>
      <c r="HN26" s="38"/>
      <c r="HO26" s="38"/>
      <c r="HP26" s="38"/>
      <c r="HQ26" s="38"/>
      <c r="HR26" s="38"/>
      <c r="HS26" s="38"/>
      <c r="HT26" s="38"/>
    </row>
    <row r="27" spans="1:228" ht="18.75" customHeight="1" x14ac:dyDescent="0.25">
      <c r="A27" s="28" t="s">
        <v>164</v>
      </c>
      <c r="B27" s="40">
        <v>19</v>
      </c>
      <c r="C27" s="29" t="s">
        <v>165</v>
      </c>
      <c r="D27" s="30" t="s">
        <v>166</v>
      </c>
      <c r="E27" s="39" t="s">
        <v>167</v>
      </c>
      <c r="F27" s="28" t="s">
        <v>134</v>
      </c>
      <c r="G27" s="33">
        <f t="shared" si="0"/>
        <v>41</v>
      </c>
      <c r="H27" s="35"/>
      <c r="I27" s="35"/>
      <c r="J27" s="28">
        <v>13</v>
      </c>
      <c r="K27" s="28">
        <f>(15-J27)</f>
        <v>2</v>
      </c>
      <c r="L27" s="28">
        <v>1</v>
      </c>
      <c r="M27" s="28">
        <f>20+(18-L27)</f>
        <v>37</v>
      </c>
      <c r="N27" s="35"/>
      <c r="O27" s="35"/>
      <c r="P27" s="35"/>
      <c r="Q27" s="35"/>
      <c r="R27" s="35"/>
      <c r="S27" s="35"/>
      <c r="T27" s="35"/>
      <c r="U27" s="35"/>
      <c r="V27" s="60">
        <v>22</v>
      </c>
      <c r="W27" s="28">
        <f>(24-V27)</f>
        <v>2</v>
      </c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  <c r="BQ27" s="38"/>
      <c r="BR27" s="38"/>
      <c r="BS27" s="38"/>
      <c r="BT27" s="38"/>
      <c r="BU27" s="38"/>
      <c r="BV27" s="38"/>
      <c r="BW27" s="38"/>
      <c r="BX27" s="38"/>
      <c r="BY27" s="38"/>
      <c r="BZ27" s="38"/>
      <c r="CA27" s="38"/>
      <c r="CB27" s="38"/>
      <c r="CC27" s="38"/>
      <c r="CD27" s="38"/>
      <c r="CE27" s="38"/>
      <c r="CF27" s="38"/>
      <c r="CG27" s="38"/>
      <c r="CH27" s="38"/>
      <c r="CI27" s="38"/>
      <c r="CJ27" s="38"/>
      <c r="CK27" s="38"/>
      <c r="CL27" s="38"/>
      <c r="CM27" s="38"/>
      <c r="CN27" s="38"/>
      <c r="CO27" s="38"/>
      <c r="CP27" s="38"/>
      <c r="CQ27" s="38"/>
      <c r="CR27" s="38"/>
      <c r="CS27" s="38"/>
      <c r="CT27" s="38"/>
      <c r="CU27" s="38"/>
      <c r="CV27" s="38"/>
      <c r="CW27" s="38"/>
      <c r="CX27" s="38"/>
      <c r="CY27" s="38"/>
      <c r="CZ27" s="38"/>
      <c r="DA27" s="38"/>
      <c r="DB27" s="38"/>
      <c r="DC27" s="38"/>
      <c r="DD27" s="38"/>
      <c r="DE27" s="38"/>
      <c r="DF27" s="38"/>
      <c r="DG27" s="38"/>
      <c r="DH27" s="38"/>
      <c r="DI27" s="38"/>
      <c r="DJ27" s="38"/>
      <c r="DK27" s="38"/>
      <c r="DL27" s="38"/>
      <c r="DM27" s="38"/>
      <c r="DN27" s="38"/>
      <c r="DO27" s="38"/>
      <c r="DP27" s="38"/>
      <c r="DQ27" s="38"/>
      <c r="DR27" s="38"/>
      <c r="DS27" s="38"/>
      <c r="DT27" s="38"/>
      <c r="DU27" s="38"/>
      <c r="DV27" s="38"/>
      <c r="DW27" s="38"/>
      <c r="DX27" s="38"/>
      <c r="DY27" s="38"/>
      <c r="DZ27" s="38"/>
      <c r="EA27" s="38"/>
      <c r="EB27" s="38"/>
      <c r="EC27" s="38"/>
      <c r="ED27" s="38"/>
      <c r="EE27" s="38"/>
      <c r="EF27" s="38"/>
      <c r="EG27" s="38"/>
      <c r="EH27" s="38"/>
      <c r="EI27" s="38"/>
      <c r="EJ27" s="38"/>
      <c r="EK27" s="38"/>
      <c r="EL27" s="38"/>
      <c r="EM27" s="38"/>
      <c r="EN27" s="38"/>
      <c r="EO27" s="38"/>
      <c r="EP27" s="38"/>
      <c r="EQ27" s="38"/>
      <c r="ER27" s="38"/>
      <c r="ES27" s="38"/>
      <c r="ET27" s="38"/>
      <c r="EU27" s="38"/>
      <c r="EV27" s="38"/>
      <c r="EW27" s="38"/>
      <c r="EX27" s="38"/>
      <c r="EY27" s="38"/>
      <c r="EZ27" s="38"/>
      <c r="FA27" s="38"/>
      <c r="FB27" s="38"/>
      <c r="FC27" s="38"/>
      <c r="FD27" s="38"/>
      <c r="FE27" s="38"/>
      <c r="FF27" s="38"/>
      <c r="FG27" s="38"/>
      <c r="FH27" s="38"/>
      <c r="FI27" s="38"/>
      <c r="FJ27" s="38"/>
      <c r="FK27" s="38"/>
      <c r="FL27" s="38"/>
      <c r="FM27" s="38"/>
      <c r="FN27" s="38"/>
      <c r="FO27" s="38"/>
      <c r="FP27" s="38"/>
      <c r="FQ27" s="38"/>
      <c r="FR27" s="38"/>
      <c r="FS27" s="38"/>
      <c r="FT27" s="38"/>
      <c r="FU27" s="38"/>
      <c r="FV27" s="38"/>
      <c r="FW27" s="38"/>
      <c r="FX27" s="38"/>
      <c r="FY27" s="38"/>
      <c r="FZ27" s="38"/>
      <c r="GA27" s="38"/>
      <c r="GB27" s="38"/>
      <c r="GC27" s="38"/>
      <c r="GD27" s="38"/>
      <c r="GE27" s="38"/>
      <c r="GF27" s="38"/>
      <c r="GG27" s="38"/>
      <c r="GH27" s="38"/>
      <c r="GI27" s="38"/>
      <c r="GJ27" s="38"/>
      <c r="GK27" s="38"/>
      <c r="GL27" s="38"/>
      <c r="GM27" s="38"/>
      <c r="GN27" s="38"/>
      <c r="GO27" s="38"/>
      <c r="GP27" s="38"/>
      <c r="GQ27" s="38"/>
      <c r="GR27" s="38"/>
      <c r="GS27" s="38"/>
      <c r="GT27" s="38"/>
      <c r="GU27" s="38"/>
      <c r="GV27" s="38"/>
      <c r="GW27" s="38"/>
      <c r="GX27" s="38"/>
      <c r="GY27" s="38"/>
      <c r="GZ27" s="38"/>
      <c r="HA27" s="38"/>
      <c r="HB27" s="38"/>
      <c r="HC27" s="38"/>
      <c r="HD27" s="38"/>
      <c r="HE27" s="38"/>
      <c r="HF27" s="38"/>
      <c r="HG27" s="38"/>
      <c r="HH27" s="38"/>
      <c r="HI27" s="38"/>
      <c r="HJ27" s="38"/>
      <c r="HK27" s="38"/>
      <c r="HL27" s="38"/>
      <c r="HM27" s="38"/>
      <c r="HN27" s="38"/>
      <c r="HO27" s="38"/>
      <c r="HP27" s="38"/>
      <c r="HQ27" s="38"/>
      <c r="HR27" s="38"/>
      <c r="HS27" s="38"/>
      <c r="HT27" s="38"/>
    </row>
    <row r="28" spans="1:228" ht="18.75" customHeight="1" x14ac:dyDescent="0.25">
      <c r="A28" s="28" t="s">
        <v>171</v>
      </c>
      <c r="B28" s="40">
        <v>20</v>
      </c>
      <c r="C28" s="29" t="s">
        <v>169</v>
      </c>
      <c r="D28" s="30" t="s">
        <v>170</v>
      </c>
      <c r="E28" s="48" t="s">
        <v>41</v>
      </c>
      <c r="F28" s="44" t="s">
        <v>140</v>
      </c>
      <c r="G28" s="33">
        <f t="shared" si="0"/>
        <v>40</v>
      </c>
      <c r="H28" s="35"/>
      <c r="I28" s="35"/>
      <c r="J28" s="35"/>
      <c r="K28" s="35"/>
      <c r="L28" s="28">
        <v>12</v>
      </c>
      <c r="M28" s="28">
        <f>(18-L28)</f>
        <v>6</v>
      </c>
      <c r="N28" s="31">
        <v>1</v>
      </c>
      <c r="O28" s="28">
        <f>20+(6-N28)</f>
        <v>25</v>
      </c>
      <c r="P28" s="28">
        <v>17</v>
      </c>
      <c r="Q28" s="28">
        <f>(21-P28)</f>
        <v>4</v>
      </c>
      <c r="R28" s="35"/>
      <c r="S28" s="35"/>
      <c r="T28" s="35"/>
      <c r="U28" s="35"/>
      <c r="V28" s="28">
        <v>19</v>
      </c>
      <c r="W28" s="28">
        <f>(24-V28)</f>
        <v>5</v>
      </c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  <c r="CM28" s="38"/>
      <c r="CN28" s="38"/>
      <c r="CO28" s="38"/>
      <c r="CP28" s="38"/>
      <c r="CQ28" s="38"/>
      <c r="CR28" s="38"/>
      <c r="CS28" s="38"/>
      <c r="CT28" s="38"/>
      <c r="CU28" s="38"/>
      <c r="CV28" s="38"/>
      <c r="CW28" s="38"/>
      <c r="CX28" s="38"/>
      <c r="CY28" s="38"/>
      <c r="CZ28" s="38"/>
      <c r="DA28" s="38"/>
      <c r="DB28" s="38"/>
      <c r="DC28" s="38"/>
      <c r="DD28" s="38"/>
      <c r="DE28" s="38"/>
      <c r="DF28" s="38"/>
      <c r="DG28" s="38"/>
      <c r="DH28" s="38"/>
      <c r="DI28" s="38"/>
      <c r="DJ28" s="38"/>
      <c r="DK28" s="38"/>
      <c r="DL28" s="38"/>
      <c r="DM28" s="38"/>
      <c r="DN28" s="38"/>
      <c r="DO28" s="38"/>
      <c r="DP28" s="38"/>
      <c r="DQ28" s="38"/>
      <c r="DR28" s="38"/>
      <c r="DS28" s="38"/>
      <c r="DT28" s="38"/>
      <c r="DU28" s="38"/>
      <c r="DV28" s="38"/>
      <c r="DW28" s="38"/>
      <c r="DX28" s="38"/>
      <c r="DY28" s="38"/>
      <c r="DZ28" s="38"/>
      <c r="EA28" s="38"/>
      <c r="EB28" s="38"/>
      <c r="EC28" s="38"/>
      <c r="ED28" s="38"/>
      <c r="EE28" s="38"/>
      <c r="EF28" s="38"/>
      <c r="EG28" s="38"/>
      <c r="EH28" s="38"/>
      <c r="EI28" s="38"/>
      <c r="EJ28" s="38"/>
      <c r="EK28" s="38"/>
      <c r="EL28" s="38"/>
      <c r="EM28" s="38"/>
      <c r="EN28" s="38"/>
      <c r="EO28" s="38"/>
      <c r="EP28" s="38"/>
      <c r="EQ28" s="38"/>
      <c r="ER28" s="38"/>
      <c r="ES28" s="38"/>
      <c r="ET28" s="38"/>
      <c r="EU28" s="38"/>
      <c r="EV28" s="38"/>
      <c r="EW28" s="38"/>
      <c r="EX28" s="38"/>
      <c r="EY28" s="38"/>
      <c r="EZ28" s="38"/>
      <c r="FA28" s="38"/>
      <c r="FB28" s="38"/>
      <c r="FC28" s="38"/>
      <c r="FD28" s="38"/>
      <c r="FE28" s="38"/>
      <c r="FF28" s="38"/>
      <c r="FG28" s="38"/>
      <c r="FH28" s="38"/>
      <c r="FI28" s="38"/>
      <c r="FJ28" s="38"/>
      <c r="FK28" s="38"/>
      <c r="FL28" s="38"/>
      <c r="FM28" s="38"/>
      <c r="FN28" s="38"/>
      <c r="FO28" s="38"/>
      <c r="FP28" s="38"/>
      <c r="FQ28" s="38"/>
      <c r="FR28" s="38"/>
      <c r="FS28" s="38"/>
      <c r="FT28" s="38"/>
      <c r="FU28" s="38"/>
      <c r="FV28" s="38"/>
      <c r="FW28" s="38"/>
      <c r="FX28" s="38"/>
      <c r="FY28" s="38"/>
      <c r="FZ28" s="38"/>
      <c r="GA28" s="38"/>
      <c r="GB28" s="38"/>
      <c r="GC28" s="38"/>
      <c r="GD28" s="38"/>
      <c r="GE28" s="38"/>
      <c r="GF28" s="38"/>
      <c r="GG28" s="38"/>
      <c r="GH28" s="38"/>
      <c r="GI28" s="38"/>
      <c r="GJ28" s="38"/>
      <c r="GK28" s="38"/>
      <c r="GL28" s="38"/>
      <c r="GM28" s="38"/>
      <c r="GN28" s="38"/>
      <c r="GO28" s="38"/>
      <c r="GP28" s="38"/>
      <c r="GQ28" s="38"/>
      <c r="GR28" s="38"/>
      <c r="GS28" s="38"/>
      <c r="GT28" s="38"/>
      <c r="GU28" s="38"/>
      <c r="GV28" s="38"/>
      <c r="GW28" s="38"/>
      <c r="GX28" s="38"/>
      <c r="GY28" s="38"/>
      <c r="GZ28" s="38"/>
      <c r="HA28" s="38"/>
      <c r="HB28" s="38"/>
      <c r="HC28" s="38"/>
      <c r="HD28" s="38"/>
      <c r="HE28" s="38"/>
      <c r="HF28" s="38"/>
      <c r="HG28" s="38"/>
      <c r="HH28" s="38"/>
      <c r="HI28" s="38"/>
      <c r="HJ28" s="38"/>
      <c r="HK28" s="38"/>
      <c r="HL28" s="38"/>
      <c r="HM28" s="38"/>
      <c r="HN28" s="38"/>
      <c r="HO28" s="38"/>
      <c r="HP28" s="38"/>
      <c r="HQ28" s="38"/>
      <c r="HR28" s="38"/>
      <c r="HS28" s="38"/>
      <c r="HT28" s="38"/>
    </row>
    <row r="29" spans="1:228" ht="18.75" customHeight="1" x14ac:dyDescent="0.25">
      <c r="A29" s="28" t="s">
        <v>174</v>
      </c>
      <c r="B29" s="40">
        <v>21</v>
      </c>
      <c r="C29" s="30" t="s">
        <v>172</v>
      </c>
      <c r="D29" s="30" t="s">
        <v>173</v>
      </c>
      <c r="E29" s="34" t="s">
        <v>41</v>
      </c>
      <c r="F29" s="61" t="s">
        <v>140</v>
      </c>
      <c r="G29" s="33">
        <f>I29+K29+M29+O29+Q29+S29+U29+W29</f>
        <v>40</v>
      </c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1">
        <v>2</v>
      </c>
      <c r="W29" s="28">
        <f>18+(24-V29)</f>
        <v>40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38"/>
      <c r="CE29" s="38"/>
      <c r="CF29" s="38"/>
      <c r="CG29" s="38"/>
      <c r="CH29" s="38"/>
      <c r="CI29" s="38"/>
      <c r="CJ29" s="38"/>
      <c r="CK29" s="38"/>
      <c r="CL29" s="38"/>
      <c r="CM29" s="38"/>
      <c r="CN29" s="38"/>
      <c r="CO29" s="38"/>
      <c r="CP29" s="38"/>
      <c r="CQ29" s="38"/>
      <c r="CR29" s="38"/>
      <c r="CS29" s="38"/>
      <c r="CT29" s="38"/>
      <c r="CU29" s="38"/>
      <c r="CV29" s="38"/>
      <c r="CW29" s="38"/>
      <c r="CX29" s="38"/>
      <c r="CY29" s="38"/>
      <c r="CZ29" s="38"/>
      <c r="DA29" s="38"/>
      <c r="DB29" s="38"/>
      <c r="DC29" s="38"/>
      <c r="DD29" s="38"/>
      <c r="DE29" s="38"/>
      <c r="DF29" s="38"/>
      <c r="DG29" s="38"/>
      <c r="DH29" s="38"/>
      <c r="DI29" s="38"/>
      <c r="DJ29" s="38"/>
      <c r="DK29" s="38"/>
      <c r="DL29" s="38"/>
      <c r="DM29" s="38"/>
      <c r="DN29" s="38"/>
      <c r="DO29" s="38"/>
      <c r="DP29" s="38"/>
      <c r="DQ29" s="38"/>
      <c r="DR29" s="38"/>
      <c r="DS29" s="38"/>
      <c r="DT29" s="38"/>
      <c r="DU29" s="38"/>
      <c r="DV29" s="38"/>
      <c r="DW29" s="38"/>
      <c r="DX29" s="38"/>
      <c r="DY29" s="38"/>
      <c r="DZ29" s="38"/>
      <c r="EA29" s="38"/>
      <c r="EB29" s="38"/>
      <c r="EC29" s="38"/>
      <c r="ED29" s="38"/>
      <c r="EE29" s="38"/>
      <c r="EF29" s="38"/>
      <c r="EG29" s="38"/>
      <c r="EH29" s="38"/>
      <c r="EI29" s="38"/>
      <c r="EJ29" s="38"/>
      <c r="EK29" s="38"/>
      <c r="EL29" s="38"/>
      <c r="EM29" s="38"/>
      <c r="EN29" s="38"/>
      <c r="EO29" s="38"/>
      <c r="EP29" s="38"/>
      <c r="EQ29" s="38"/>
      <c r="ER29" s="38"/>
      <c r="ES29" s="38"/>
      <c r="ET29" s="38"/>
      <c r="EU29" s="38"/>
      <c r="EV29" s="38"/>
      <c r="EW29" s="38"/>
      <c r="EX29" s="38"/>
      <c r="EY29" s="38"/>
      <c r="EZ29" s="38"/>
      <c r="FA29" s="38"/>
      <c r="FB29" s="38"/>
      <c r="FC29" s="38"/>
      <c r="FD29" s="38"/>
      <c r="FE29" s="38"/>
      <c r="FF29" s="38"/>
      <c r="FG29" s="38"/>
      <c r="FH29" s="38"/>
      <c r="FI29" s="38"/>
      <c r="FJ29" s="38"/>
      <c r="FK29" s="38"/>
      <c r="FL29" s="38"/>
      <c r="FM29" s="38"/>
      <c r="FN29" s="38"/>
      <c r="FO29" s="38"/>
      <c r="FP29" s="38"/>
      <c r="FQ29" s="38"/>
      <c r="FR29" s="38"/>
      <c r="FS29" s="38"/>
      <c r="FT29" s="38"/>
      <c r="FU29" s="38"/>
      <c r="FV29" s="38"/>
      <c r="FW29" s="38"/>
      <c r="FX29" s="38"/>
      <c r="FY29" s="38"/>
      <c r="FZ29" s="38"/>
      <c r="GA29" s="38"/>
      <c r="GB29" s="38"/>
      <c r="GC29" s="38"/>
      <c r="GD29" s="38"/>
      <c r="GE29" s="38"/>
      <c r="GF29" s="38"/>
      <c r="GG29" s="38"/>
      <c r="GH29" s="38"/>
      <c r="GI29" s="38"/>
      <c r="GJ29" s="38"/>
      <c r="GK29" s="38"/>
      <c r="GL29" s="38"/>
      <c r="GM29" s="38"/>
      <c r="GN29" s="38"/>
      <c r="GO29" s="38"/>
      <c r="GP29" s="38"/>
      <c r="GQ29" s="38"/>
      <c r="GR29" s="38"/>
      <c r="GS29" s="38"/>
      <c r="GT29" s="38"/>
      <c r="GU29" s="38"/>
      <c r="GV29" s="38"/>
      <c r="GW29" s="38"/>
      <c r="GX29" s="38"/>
      <c r="GY29" s="38"/>
      <c r="GZ29" s="38"/>
      <c r="HA29" s="38"/>
      <c r="HB29" s="38"/>
      <c r="HC29" s="38"/>
      <c r="HD29" s="38"/>
      <c r="HE29" s="38"/>
      <c r="HF29" s="38"/>
      <c r="HG29" s="38"/>
      <c r="HH29" s="38"/>
      <c r="HI29" s="38"/>
      <c r="HJ29" s="38"/>
      <c r="HK29" s="38"/>
      <c r="HL29" s="38"/>
      <c r="HM29" s="38"/>
      <c r="HN29" s="38"/>
      <c r="HO29" s="38"/>
      <c r="HP29" s="38"/>
      <c r="HQ29" s="38"/>
      <c r="HR29" s="38"/>
      <c r="HS29" s="38"/>
      <c r="HT29" s="38"/>
    </row>
    <row r="30" spans="1:228" ht="18.75" customHeight="1" x14ac:dyDescent="0.25">
      <c r="A30" s="28" t="s">
        <v>286</v>
      </c>
      <c r="B30" s="40">
        <v>22</v>
      </c>
      <c r="C30" s="29" t="s">
        <v>175</v>
      </c>
      <c r="D30" s="30" t="s">
        <v>176</v>
      </c>
      <c r="E30" s="40" t="s">
        <v>41</v>
      </c>
      <c r="F30" s="62" t="s">
        <v>458</v>
      </c>
      <c r="G30" s="33">
        <f>I30+K30+M30+O30+Q30+S30+U30+W30-K30</f>
        <v>40</v>
      </c>
      <c r="H30" s="28">
        <v>6</v>
      </c>
      <c r="I30" s="28">
        <f>10+(14-H30)</f>
        <v>18</v>
      </c>
      <c r="J30" s="28" t="s">
        <v>69</v>
      </c>
      <c r="K30" s="36">
        <v>0</v>
      </c>
      <c r="L30" s="28">
        <v>12</v>
      </c>
      <c r="M30" s="28">
        <f>(18-L30)</f>
        <v>6</v>
      </c>
      <c r="N30" s="35"/>
      <c r="O30" s="35"/>
      <c r="P30" s="28">
        <v>11</v>
      </c>
      <c r="Q30" s="28">
        <f>(21-P30)</f>
        <v>10</v>
      </c>
      <c r="R30" s="35"/>
      <c r="S30" s="35"/>
      <c r="T30" s="28">
        <v>17</v>
      </c>
      <c r="U30" s="28">
        <f>(20-T30)</f>
        <v>3</v>
      </c>
      <c r="V30" s="28">
        <v>21</v>
      </c>
      <c r="W30" s="28">
        <f>(24-V30)</f>
        <v>3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38"/>
      <c r="CV30" s="38"/>
      <c r="CW30" s="38"/>
      <c r="CX30" s="38"/>
      <c r="CY30" s="38"/>
      <c r="CZ30" s="38"/>
      <c r="DA30" s="38"/>
      <c r="DB30" s="38"/>
      <c r="DC30" s="38"/>
      <c r="DD30" s="38"/>
      <c r="DE30" s="38"/>
      <c r="DF30" s="38"/>
      <c r="DG30" s="38"/>
      <c r="DH30" s="38"/>
      <c r="DI30" s="38"/>
      <c r="DJ30" s="38"/>
      <c r="DK30" s="38"/>
      <c r="DL30" s="38"/>
      <c r="DM30" s="38"/>
      <c r="DN30" s="38"/>
      <c r="DO30" s="38"/>
      <c r="DP30" s="38"/>
      <c r="DQ30" s="38"/>
      <c r="DR30" s="38"/>
      <c r="DS30" s="38"/>
      <c r="DT30" s="38"/>
      <c r="DU30" s="38"/>
      <c r="DV30" s="38"/>
      <c r="DW30" s="38"/>
      <c r="DX30" s="38"/>
      <c r="DY30" s="38"/>
      <c r="DZ30" s="38"/>
      <c r="EA30" s="38"/>
      <c r="EB30" s="38"/>
      <c r="EC30" s="38"/>
      <c r="ED30" s="38"/>
      <c r="EE30" s="38"/>
      <c r="EF30" s="38"/>
      <c r="EG30" s="38"/>
      <c r="EH30" s="38"/>
      <c r="EI30" s="38"/>
      <c r="EJ30" s="38"/>
      <c r="EK30" s="38"/>
      <c r="EL30" s="38"/>
      <c r="EM30" s="38"/>
      <c r="EN30" s="38"/>
      <c r="EO30" s="38"/>
      <c r="EP30" s="38"/>
      <c r="EQ30" s="38"/>
      <c r="ER30" s="38"/>
      <c r="ES30" s="38"/>
      <c r="ET30" s="38"/>
      <c r="EU30" s="38"/>
      <c r="EV30" s="38"/>
      <c r="EW30" s="38"/>
      <c r="EX30" s="38"/>
      <c r="EY30" s="38"/>
      <c r="EZ30" s="38"/>
      <c r="FA30" s="38"/>
      <c r="FB30" s="38"/>
      <c r="FC30" s="38"/>
      <c r="FD30" s="38"/>
      <c r="FE30" s="38"/>
      <c r="FF30" s="38"/>
      <c r="FG30" s="38"/>
      <c r="FH30" s="38"/>
      <c r="FI30" s="38"/>
      <c r="FJ30" s="38"/>
      <c r="FK30" s="38"/>
      <c r="FL30" s="38"/>
      <c r="FM30" s="38"/>
      <c r="FN30" s="38"/>
      <c r="FO30" s="38"/>
      <c r="FP30" s="38"/>
      <c r="FQ30" s="38"/>
      <c r="FR30" s="38"/>
      <c r="FS30" s="38"/>
      <c r="FT30" s="38"/>
      <c r="FU30" s="38"/>
      <c r="FV30" s="38"/>
      <c r="FW30" s="38"/>
      <c r="FX30" s="38"/>
      <c r="FY30" s="38"/>
      <c r="FZ30" s="38"/>
      <c r="GA30" s="38"/>
      <c r="GB30" s="38"/>
      <c r="GC30" s="38"/>
      <c r="GD30" s="38"/>
      <c r="GE30" s="38"/>
      <c r="GF30" s="38"/>
      <c r="GG30" s="38"/>
      <c r="GH30" s="38"/>
      <c r="GI30" s="38"/>
      <c r="GJ30" s="38"/>
      <c r="GK30" s="38"/>
      <c r="GL30" s="38"/>
      <c r="GM30" s="38"/>
      <c r="GN30" s="38"/>
      <c r="GO30" s="38"/>
      <c r="GP30" s="38"/>
      <c r="GQ30" s="38"/>
      <c r="GR30" s="38"/>
      <c r="GS30" s="38"/>
      <c r="GT30" s="38"/>
      <c r="GU30" s="38"/>
      <c r="GV30" s="38"/>
      <c r="GW30" s="38"/>
      <c r="GX30" s="38"/>
      <c r="GY30" s="38"/>
      <c r="GZ30" s="38"/>
      <c r="HA30" s="38"/>
      <c r="HB30" s="38"/>
      <c r="HC30" s="38"/>
      <c r="HD30" s="38"/>
      <c r="HE30" s="38"/>
      <c r="HF30" s="38"/>
      <c r="HG30" s="38"/>
      <c r="HH30" s="38"/>
      <c r="HI30" s="38"/>
      <c r="HJ30" s="38"/>
      <c r="HK30" s="38"/>
      <c r="HL30" s="38"/>
      <c r="HM30" s="38"/>
      <c r="HN30" s="38"/>
      <c r="HO30" s="38"/>
      <c r="HP30" s="38"/>
      <c r="HQ30" s="38"/>
      <c r="HR30" s="38"/>
      <c r="HS30" s="38"/>
      <c r="HT30" s="38"/>
    </row>
    <row r="31" spans="1:228" ht="18.75" customHeight="1" x14ac:dyDescent="0.25">
      <c r="A31" s="28" t="s">
        <v>164</v>
      </c>
      <c r="B31" s="40">
        <v>23</v>
      </c>
      <c r="C31" s="29" t="s">
        <v>177</v>
      </c>
      <c r="D31" s="30" t="s">
        <v>178</v>
      </c>
      <c r="E31" s="50" t="s">
        <v>167</v>
      </c>
      <c r="F31" s="28" t="s">
        <v>94</v>
      </c>
      <c r="G31" s="33">
        <f t="shared" ref="G31:G56" si="1">I31+K31+M31+O31+Q31+S31+U31+W31</f>
        <v>37</v>
      </c>
      <c r="H31" s="28">
        <v>5</v>
      </c>
      <c r="I31" s="28">
        <f>12+(14-H31)</f>
        <v>21</v>
      </c>
      <c r="J31" s="28">
        <v>7</v>
      </c>
      <c r="K31" s="28">
        <f>8+(15-J31)</f>
        <v>16</v>
      </c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  <c r="CV31" s="38"/>
      <c r="CW31" s="38"/>
      <c r="CX31" s="38"/>
      <c r="CY31" s="38"/>
      <c r="CZ31" s="38"/>
      <c r="DA31" s="38"/>
      <c r="DB31" s="38"/>
      <c r="DC31" s="38"/>
      <c r="DD31" s="38"/>
      <c r="DE31" s="38"/>
      <c r="DF31" s="38"/>
      <c r="DG31" s="38"/>
      <c r="DH31" s="38"/>
      <c r="DI31" s="38"/>
      <c r="DJ31" s="38"/>
      <c r="DK31" s="38"/>
      <c r="DL31" s="38"/>
      <c r="DM31" s="38"/>
      <c r="DN31" s="38"/>
      <c r="DO31" s="38"/>
      <c r="DP31" s="38"/>
      <c r="DQ31" s="38"/>
      <c r="DR31" s="38"/>
      <c r="DS31" s="38"/>
      <c r="DT31" s="38"/>
      <c r="DU31" s="38"/>
      <c r="DV31" s="38"/>
      <c r="DW31" s="38"/>
      <c r="DX31" s="38"/>
      <c r="DY31" s="38"/>
      <c r="DZ31" s="38"/>
      <c r="EA31" s="38"/>
      <c r="EB31" s="38"/>
      <c r="EC31" s="38"/>
      <c r="ED31" s="38"/>
      <c r="EE31" s="38"/>
      <c r="EF31" s="38"/>
      <c r="EG31" s="38"/>
      <c r="EH31" s="38"/>
      <c r="EI31" s="38"/>
      <c r="EJ31" s="38"/>
      <c r="EK31" s="38"/>
      <c r="EL31" s="38"/>
      <c r="EM31" s="38"/>
      <c r="EN31" s="38"/>
      <c r="EO31" s="38"/>
      <c r="EP31" s="38"/>
      <c r="EQ31" s="38"/>
      <c r="ER31" s="38"/>
      <c r="ES31" s="38"/>
      <c r="ET31" s="38"/>
      <c r="EU31" s="38"/>
      <c r="EV31" s="38"/>
      <c r="EW31" s="38"/>
      <c r="EX31" s="38"/>
      <c r="EY31" s="38"/>
      <c r="EZ31" s="38"/>
      <c r="FA31" s="38"/>
      <c r="FB31" s="38"/>
      <c r="FC31" s="38"/>
      <c r="FD31" s="38"/>
      <c r="FE31" s="38"/>
      <c r="FF31" s="38"/>
      <c r="FG31" s="38"/>
      <c r="FH31" s="38"/>
      <c r="FI31" s="38"/>
      <c r="FJ31" s="38"/>
      <c r="FK31" s="38"/>
      <c r="FL31" s="38"/>
      <c r="FM31" s="38"/>
      <c r="FN31" s="38"/>
      <c r="FO31" s="38"/>
      <c r="FP31" s="38"/>
      <c r="FQ31" s="38"/>
      <c r="FR31" s="38"/>
      <c r="FS31" s="38"/>
      <c r="FT31" s="38"/>
      <c r="FU31" s="38"/>
      <c r="FV31" s="38"/>
      <c r="FW31" s="38"/>
      <c r="FX31" s="38"/>
      <c r="FY31" s="38"/>
      <c r="FZ31" s="38"/>
      <c r="GA31" s="38"/>
      <c r="GB31" s="38"/>
      <c r="GC31" s="38"/>
      <c r="GD31" s="38"/>
      <c r="GE31" s="38"/>
      <c r="GF31" s="38"/>
      <c r="GG31" s="38"/>
      <c r="GH31" s="38"/>
      <c r="GI31" s="38"/>
      <c r="GJ31" s="38"/>
      <c r="GK31" s="38"/>
      <c r="GL31" s="38"/>
      <c r="GM31" s="38"/>
      <c r="GN31" s="38"/>
      <c r="GO31" s="38"/>
      <c r="GP31" s="38"/>
      <c r="GQ31" s="38"/>
      <c r="GR31" s="38"/>
      <c r="GS31" s="38"/>
      <c r="GT31" s="38"/>
      <c r="GU31" s="38"/>
      <c r="GV31" s="38"/>
      <c r="GW31" s="38"/>
      <c r="GX31" s="38"/>
      <c r="GY31" s="38"/>
      <c r="GZ31" s="38"/>
      <c r="HA31" s="38"/>
      <c r="HB31" s="38"/>
      <c r="HC31" s="38"/>
      <c r="HD31" s="38"/>
      <c r="HE31" s="38"/>
      <c r="HF31" s="38"/>
      <c r="HG31" s="38"/>
      <c r="HH31" s="38"/>
      <c r="HI31" s="38"/>
      <c r="HJ31" s="38"/>
      <c r="HK31" s="38"/>
      <c r="HL31" s="38"/>
      <c r="HM31" s="38"/>
      <c r="HN31" s="38"/>
      <c r="HO31" s="38"/>
      <c r="HP31" s="38"/>
      <c r="HQ31" s="38"/>
      <c r="HR31" s="38"/>
      <c r="HS31" s="38"/>
      <c r="HT31" s="38"/>
    </row>
    <row r="32" spans="1:228" ht="18.75" customHeight="1" x14ac:dyDescent="0.25">
      <c r="A32" s="28" t="s">
        <v>164</v>
      </c>
      <c r="B32" s="40">
        <v>24</v>
      </c>
      <c r="C32" s="29" t="s">
        <v>179</v>
      </c>
      <c r="D32" s="30" t="s">
        <v>180</v>
      </c>
      <c r="E32" s="34" t="s">
        <v>167</v>
      </c>
      <c r="F32" s="59" t="s">
        <v>140</v>
      </c>
      <c r="G32" s="33">
        <f t="shared" si="1"/>
        <v>35</v>
      </c>
      <c r="H32" s="35"/>
      <c r="I32" s="35"/>
      <c r="J32" s="35"/>
      <c r="K32" s="35"/>
      <c r="L32" s="28">
        <v>7</v>
      </c>
      <c r="M32" s="28">
        <f>8+(18-L32)</f>
        <v>19</v>
      </c>
      <c r="N32" s="35"/>
      <c r="O32" s="35"/>
      <c r="P32" s="28">
        <v>9</v>
      </c>
      <c r="Q32" s="28">
        <f>4+(21-P32)</f>
        <v>16</v>
      </c>
      <c r="R32" s="35"/>
      <c r="S32" s="35"/>
      <c r="T32" s="35"/>
      <c r="U32" s="35"/>
      <c r="V32" s="35"/>
      <c r="W32" s="35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8"/>
      <c r="DL32" s="38"/>
      <c r="DM32" s="38"/>
      <c r="DN32" s="38"/>
      <c r="DO32" s="38"/>
      <c r="DP32" s="38"/>
      <c r="DQ32" s="38"/>
      <c r="DR32" s="38"/>
      <c r="DS32" s="38"/>
      <c r="DT32" s="38"/>
      <c r="DU32" s="38"/>
      <c r="DV32" s="38"/>
      <c r="DW32" s="38"/>
      <c r="DX32" s="38"/>
      <c r="DY32" s="38"/>
      <c r="DZ32" s="38"/>
      <c r="EA32" s="38"/>
      <c r="EB32" s="38"/>
      <c r="EC32" s="38"/>
      <c r="ED32" s="38"/>
      <c r="EE32" s="38"/>
      <c r="EF32" s="38"/>
      <c r="EG32" s="38"/>
      <c r="EH32" s="38"/>
      <c r="EI32" s="38"/>
      <c r="EJ32" s="38"/>
      <c r="EK32" s="38"/>
      <c r="EL32" s="38"/>
      <c r="EM32" s="38"/>
      <c r="EN32" s="38"/>
      <c r="EO32" s="38"/>
      <c r="EP32" s="38"/>
      <c r="EQ32" s="38"/>
      <c r="ER32" s="38"/>
      <c r="ES32" s="38"/>
      <c r="ET32" s="38"/>
      <c r="EU32" s="38"/>
      <c r="EV32" s="38"/>
      <c r="EW32" s="38"/>
      <c r="EX32" s="38"/>
      <c r="EY32" s="38"/>
      <c r="EZ32" s="38"/>
      <c r="FA32" s="38"/>
      <c r="FB32" s="38"/>
      <c r="FC32" s="38"/>
      <c r="FD32" s="38"/>
      <c r="FE32" s="38"/>
      <c r="FF32" s="38"/>
      <c r="FG32" s="38"/>
      <c r="FH32" s="38"/>
      <c r="FI32" s="38"/>
      <c r="FJ32" s="38"/>
      <c r="FK32" s="38"/>
      <c r="FL32" s="38"/>
      <c r="FM32" s="38"/>
      <c r="FN32" s="38"/>
      <c r="FO32" s="38"/>
      <c r="FP32" s="38"/>
      <c r="FQ32" s="38"/>
      <c r="FR32" s="38"/>
      <c r="FS32" s="38"/>
      <c r="FT32" s="38"/>
      <c r="FU32" s="38"/>
      <c r="FV32" s="38"/>
      <c r="FW32" s="38"/>
      <c r="FX32" s="38"/>
      <c r="FY32" s="38"/>
      <c r="FZ32" s="38"/>
      <c r="GA32" s="38"/>
      <c r="GB32" s="38"/>
      <c r="GC32" s="38"/>
      <c r="GD32" s="38"/>
      <c r="GE32" s="38"/>
      <c r="GF32" s="38"/>
      <c r="GG32" s="38"/>
      <c r="GH32" s="38"/>
      <c r="GI32" s="38"/>
      <c r="GJ32" s="38"/>
      <c r="GK32" s="38"/>
      <c r="GL32" s="38"/>
      <c r="GM32" s="38"/>
      <c r="GN32" s="38"/>
      <c r="GO32" s="38"/>
      <c r="GP32" s="38"/>
      <c r="GQ32" s="38"/>
      <c r="GR32" s="38"/>
      <c r="GS32" s="38"/>
      <c r="GT32" s="38"/>
      <c r="GU32" s="38"/>
      <c r="GV32" s="38"/>
      <c r="GW32" s="38"/>
      <c r="GX32" s="38"/>
      <c r="GY32" s="38"/>
      <c r="GZ32" s="38"/>
      <c r="HA32" s="38"/>
      <c r="HB32" s="38"/>
      <c r="HC32" s="38"/>
      <c r="HD32" s="38"/>
      <c r="HE32" s="38"/>
      <c r="HF32" s="38"/>
      <c r="HG32" s="38"/>
      <c r="HH32" s="38"/>
      <c r="HI32" s="38"/>
      <c r="HJ32" s="38"/>
      <c r="HK32" s="38"/>
      <c r="HL32" s="38"/>
      <c r="HM32" s="38"/>
      <c r="HN32" s="38"/>
      <c r="HO32" s="38"/>
      <c r="HP32" s="38"/>
      <c r="HQ32" s="38"/>
      <c r="HR32" s="38"/>
      <c r="HS32" s="38"/>
      <c r="HT32" s="38"/>
    </row>
    <row r="33" spans="1:228" s="38" customFormat="1" ht="22.5" x14ac:dyDescent="0.25">
      <c r="A33" s="32" t="s">
        <v>183</v>
      </c>
      <c r="B33" s="40">
        <v>25</v>
      </c>
      <c r="C33" s="30" t="s">
        <v>181</v>
      </c>
      <c r="D33" s="30" t="s">
        <v>182</v>
      </c>
      <c r="E33" s="34" t="s">
        <v>41</v>
      </c>
      <c r="F33" s="61" t="s">
        <v>140</v>
      </c>
      <c r="G33" s="33">
        <f t="shared" si="1"/>
        <v>34</v>
      </c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1">
        <v>4</v>
      </c>
      <c r="W33" s="28">
        <f>14+(24-V33)</f>
        <v>34</v>
      </c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  <c r="DF33" s="27"/>
      <c r="DG33" s="27"/>
      <c r="DH33" s="27"/>
      <c r="DI33" s="27"/>
      <c r="DJ33" s="27"/>
      <c r="DK33" s="27"/>
      <c r="DL33" s="27"/>
      <c r="DM33" s="27"/>
      <c r="DN33" s="27"/>
      <c r="DO33" s="27"/>
      <c r="DP33" s="27"/>
      <c r="DQ33" s="27"/>
      <c r="DR33" s="27"/>
      <c r="DS33" s="27"/>
      <c r="DT33" s="27"/>
      <c r="DU33" s="27"/>
      <c r="DV33" s="27"/>
      <c r="DW33" s="27"/>
      <c r="DX33" s="27"/>
      <c r="DY33" s="27"/>
      <c r="DZ33" s="27"/>
      <c r="EA33" s="27"/>
      <c r="EB33" s="27"/>
      <c r="EC33" s="27"/>
      <c r="ED33" s="27"/>
      <c r="EE33" s="27"/>
      <c r="EF33" s="27"/>
      <c r="EG33" s="27"/>
      <c r="EH33" s="27"/>
      <c r="EI33" s="27"/>
      <c r="EJ33" s="27"/>
      <c r="EK33" s="27"/>
      <c r="EL33" s="27"/>
      <c r="EM33" s="27"/>
      <c r="EN33" s="27"/>
      <c r="EO33" s="27"/>
      <c r="EP33" s="27"/>
      <c r="EQ33" s="27"/>
      <c r="ER33" s="27"/>
      <c r="ES33" s="27"/>
      <c r="ET33" s="27"/>
      <c r="EU33" s="27"/>
      <c r="EV33" s="27"/>
      <c r="EW33" s="27"/>
      <c r="EX33" s="27"/>
      <c r="EY33" s="27"/>
      <c r="EZ33" s="27"/>
      <c r="FA33" s="27"/>
      <c r="FB33" s="27"/>
      <c r="FC33" s="27"/>
      <c r="FD33" s="27"/>
      <c r="FE33" s="27"/>
      <c r="FF33" s="27"/>
      <c r="FG33" s="27"/>
      <c r="FH33" s="27"/>
      <c r="FI33" s="27"/>
      <c r="FJ33" s="27"/>
      <c r="FK33" s="27"/>
      <c r="FL33" s="27"/>
      <c r="FM33" s="27"/>
      <c r="FN33" s="27"/>
      <c r="FO33" s="27"/>
      <c r="FP33" s="27"/>
      <c r="FQ33" s="27"/>
      <c r="FR33" s="27"/>
      <c r="FS33" s="27"/>
      <c r="FT33" s="27"/>
      <c r="FU33" s="27"/>
      <c r="FV33" s="27"/>
      <c r="FW33" s="27"/>
      <c r="FX33" s="27"/>
      <c r="FY33" s="27"/>
      <c r="FZ33" s="27"/>
      <c r="GA33" s="27"/>
      <c r="GB33" s="27"/>
      <c r="GC33" s="27"/>
      <c r="GD33" s="27"/>
      <c r="GE33" s="27"/>
      <c r="GF33" s="27"/>
      <c r="GG33" s="27"/>
      <c r="GH33" s="27"/>
      <c r="GI33" s="27"/>
      <c r="GJ33" s="27"/>
      <c r="GK33" s="27"/>
      <c r="GL33" s="27"/>
      <c r="GM33" s="27"/>
      <c r="GN33" s="27"/>
      <c r="GO33" s="27"/>
      <c r="GP33" s="27"/>
      <c r="GQ33" s="27"/>
      <c r="GR33" s="27"/>
      <c r="GS33" s="27"/>
      <c r="GT33" s="27"/>
      <c r="GU33" s="27"/>
      <c r="GV33" s="27"/>
      <c r="GW33" s="27"/>
      <c r="GX33" s="27"/>
      <c r="GY33" s="27"/>
      <c r="GZ33" s="27"/>
      <c r="HA33" s="27"/>
      <c r="HB33" s="27"/>
      <c r="HC33" s="27"/>
      <c r="HD33" s="27"/>
      <c r="HE33" s="27"/>
      <c r="HF33" s="27"/>
      <c r="HG33" s="27"/>
      <c r="HH33" s="27"/>
      <c r="HI33" s="27"/>
      <c r="HJ33" s="27"/>
      <c r="HK33" s="27"/>
      <c r="HL33" s="27"/>
      <c r="HM33" s="27"/>
      <c r="HN33" s="27"/>
      <c r="HO33" s="27"/>
      <c r="HP33" s="27"/>
      <c r="HQ33" s="27"/>
      <c r="HR33" s="27"/>
      <c r="HS33" s="27"/>
    </row>
    <row r="34" spans="1:228" ht="22.5" x14ac:dyDescent="0.25">
      <c r="A34" s="32" t="s">
        <v>459</v>
      </c>
      <c r="B34" s="40">
        <v>26</v>
      </c>
      <c r="C34" s="30" t="s">
        <v>184</v>
      </c>
      <c r="D34" s="30" t="s">
        <v>185</v>
      </c>
      <c r="E34" s="32" t="s">
        <v>41</v>
      </c>
      <c r="F34" s="44" t="s">
        <v>140</v>
      </c>
      <c r="G34" s="33">
        <f t="shared" si="1"/>
        <v>31</v>
      </c>
      <c r="H34" s="35"/>
      <c r="I34" s="35"/>
      <c r="J34" s="35"/>
      <c r="K34" s="35"/>
      <c r="L34" s="35"/>
      <c r="M34" s="35"/>
      <c r="N34" s="35"/>
      <c r="O34" s="35"/>
      <c r="P34" s="28">
        <v>4</v>
      </c>
      <c r="Q34" s="28">
        <f>14+(21-P34)</f>
        <v>31</v>
      </c>
      <c r="R34" s="35"/>
      <c r="S34" s="35"/>
      <c r="T34" s="35"/>
      <c r="U34" s="35"/>
      <c r="V34" s="35"/>
      <c r="W34" s="35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38"/>
      <c r="BO34" s="38"/>
      <c r="BP34" s="38"/>
      <c r="BQ34" s="38"/>
      <c r="BR34" s="38"/>
      <c r="BS34" s="38"/>
      <c r="BT34" s="38"/>
      <c r="BU34" s="38"/>
      <c r="BV34" s="38"/>
      <c r="BW34" s="38"/>
      <c r="BX34" s="38"/>
      <c r="BY34" s="38"/>
      <c r="BZ34" s="38"/>
      <c r="CA34" s="38"/>
      <c r="CB34" s="38"/>
      <c r="CC34" s="38"/>
      <c r="CD34" s="38"/>
      <c r="CE34" s="38"/>
      <c r="CF34" s="38"/>
      <c r="CG34" s="38"/>
      <c r="CH34" s="38"/>
      <c r="CI34" s="38"/>
      <c r="CJ34" s="38"/>
      <c r="CK34" s="38"/>
      <c r="CL34" s="38"/>
      <c r="CM34" s="38"/>
      <c r="CN34" s="38"/>
      <c r="CO34" s="38"/>
      <c r="CP34" s="38"/>
      <c r="CQ34" s="38"/>
      <c r="CR34" s="38"/>
      <c r="CS34" s="38"/>
      <c r="CT34" s="38"/>
      <c r="CU34" s="38"/>
      <c r="CV34" s="38"/>
      <c r="CW34" s="38"/>
      <c r="CX34" s="38"/>
      <c r="CY34" s="38"/>
      <c r="CZ34" s="38"/>
      <c r="DA34" s="38"/>
      <c r="DB34" s="38"/>
      <c r="DC34" s="38"/>
      <c r="DD34" s="38"/>
      <c r="DE34" s="38"/>
      <c r="DF34" s="38"/>
      <c r="DG34" s="38"/>
      <c r="DH34" s="38"/>
      <c r="DI34" s="38"/>
      <c r="DJ34" s="38"/>
      <c r="DK34" s="38"/>
      <c r="DL34" s="38"/>
      <c r="DM34" s="38"/>
      <c r="DN34" s="38"/>
      <c r="DO34" s="38"/>
      <c r="DP34" s="38"/>
      <c r="DQ34" s="38"/>
      <c r="DR34" s="38"/>
      <c r="DS34" s="38"/>
      <c r="DT34" s="38"/>
      <c r="DU34" s="38"/>
      <c r="DV34" s="38"/>
      <c r="DW34" s="38"/>
      <c r="DX34" s="38"/>
      <c r="DY34" s="38"/>
      <c r="DZ34" s="38"/>
      <c r="EA34" s="38"/>
      <c r="EB34" s="38"/>
      <c r="EC34" s="38"/>
      <c r="ED34" s="38"/>
      <c r="EE34" s="38"/>
      <c r="EF34" s="38"/>
      <c r="EG34" s="38"/>
      <c r="EH34" s="38"/>
      <c r="EI34" s="38"/>
      <c r="EJ34" s="38"/>
      <c r="EK34" s="38"/>
      <c r="EL34" s="38"/>
      <c r="EM34" s="38"/>
      <c r="EN34" s="38"/>
      <c r="EO34" s="38"/>
      <c r="EP34" s="38"/>
      <c r="EQ34" s="38"/>
      <c r="ER34" s="38"/>
      <c r="ES34" s="38"/>
      <c r="ET34" s="38"/>
      <c r="EU34" s="38"/>
      <c r="EV34" s="38"/>
      <c r="EW34" s="38"/>
      <c r="EX34" s="38"/>
      <c r="EY34" s="38"/>
      <c r="EZ34" s="38"/>
      <c r="FA34" s="38"/>
      <c r="FB34" s="38"/>
      <c r="FC34" s="38"/>
      <c r="FD34" s="38"/>
      <c r="FE34" s="38"/>
      <c r="FF34" s="38"/>
      <c r="FG34" s="38"/>
      <c r="FH34" s="38"/>
      <c r="FI34" s="38"/>
      <c r="FJ34" s="38"/>
      <c r="FK34" s="38"/>
      <c r="FL34" s="38"/>
      <c r="FM34" s="38"/>
      <c r="FN34" s="38"/>
      <c r="FO34" s="38"/>
      <c r="FP34" s="38"/>
      <c r="FQ34" s="38"/>
      <c r="FR34" s="38"/>
      <c r="FS34" s="38"/>
      <c r="FT34" s="38"/>
      <c r="FU34" s="38"/>
      <c r="FV34" s="38"/>
      <c r="FW34" s="38"/>
      <c r="FX34" s="38"/>
      <c r="FY34" s="38"/>
      <c r="FZ34" s="38"/>
      <c r="GA34" s="38"/>
      <c r="GB34" s="38"/>
      <c r="GC34" s="38"/>
      <c r="GD34" s="38"/>
      <c r="GE34" s="38"/>
      <c r="GF34" s="38"/>
      <c r="GG34" s="38"/>
      <c r="GH34" s="38"/>
      <c r="GI34" s="38"/>
      <c r="GJ34" s="38"/>
      <c r="GK34" s="38"/>
      <c r="GL34" s="38"/>
      <c r="GM34" s="38"/>
      <c r="GN34" s="38"/>
      <c r="GO34" s="38"/>
      <c r="GP34" s="38"/>
      <c r="GQ34" s="38"/>
      <c r="GR34" s="38"/>
      <c r="GS34" s="38"/>
      <c r="GT34" s="38"/>
      <c r="GU34" s="38"/>
      <c r="GV34" s="38"/>
      <c r="GW34" s="38"/>
      <c r="GX34" s="38"/>
      <c r="GY34" s="38"/>
      <c r="GZ34" s="38"/>
      <c r="HA34" s="38"/>
      <c r="HB34" s="38"/>
      <c r="HC34" s="38"/>
      <c r="HD34" s="38"/>
      <c r="HE34" s="38"/>
      <c r="HF34" s="38"/>
      <c r="HG34" s="38"/>
      <c r="HH34" s="38"/>
      <c r="HI34" s="38"/>
      <c r="HJ34" s="38"/>
      <c r="HK34" s="38"/>
      <c r="HL34" s="38"/>
      <c r="HM34" s="38"/>
      <c r="HN34" s="38"/>
      <c r="HO34" s="38"/>
      <c r="HP34" s="38"/>
      <c r="HQ34" s="38"/>
      <c r="HR34" s="38"/>
      <c r="HS34" s="38"/>
      <c r="HT34" s="38"/>
    </row>
    <row r="35" spans="1:228" s="38" customFormat="1" ht="18.75" customHeight="1" x14ac:dyDescent="0.25">
      <c r="A35" s="28" t="s">
        <v>189</v>
      </c>
      <c r="B35" s="40">
        <v>27</v>
      </c>
      <c r="C35" s="30" t="s">
        <v>187</v>
      </c>
      <c r="D35" s="30" t="s">
        <v>188</v>
      </c>
      <c r="E35" s="48" t="s">
        <v>41</v>
      </c>
      <c r="F35" s="28" t="s">
        <v>128</v>
      </c>
      <c r="G35" s="33">
        <f t="shared" si="1"/>
        <v>27</v>
      </c>
      <c r="H35" s="35"/>
      <c r="I35" s="35"/>
      <c r="J35" s="35"/>
      <c r="K35" s="35"/>
      <c r="L35" s="31">
        <v>5</v>
      </c>
      <c r="M35" s="28">
        <f>12+(18-L35)</f>
        <v>25</v>
      </c>
      <c r="N35" s="35"/>
      <c r="O35" s="35"/>
      <c r="P35" s="35"/>
      <c r="Q35" s="35"/>
      <c r="R35" s="35"/>
      <c r="S35" s="35"/>
      <c r="T35" s="28">
        <v>18</v>
      </c>
      <c r="U35" s="28">
        <f>(20-T35)</f>
        <v>2</v>
      </c>
      <c r="V35" s="35"/>
      <c r="W35" s="35"/>
      <c r="HT35" s="1"/>
    </row>
    <row r="36" spans="1:228" s="38" customFormat="1" ht="18.75" customHeight="1" x14ac:dyDescent="0.25">
      <c r="A36" s="28" t="s">
        <v>297</v>
      </c>
      <c r="B36" s="40">
        <v>28</v>
      </c>
      <c r="C36" s="29" t="s">
        <v>190</v>
      </c>
      <c r="D36" s="30" t="s">
        <v>191</v>
      </c>
      <c r="E36" s="32" t="s">
        <v>41</v>
      </c>
      <c r="F36" s="28" t="s">
        <v>134</v>
      </c>
      <c r="G36" s="33">
        <f t="shared" si="1"/>
        <v>26</v>
      </c>
      <c r="H36" s="35"/>
      <c r="I36" s="35"/>
      <c r="J36" s="35"/>
      <c r="K36" s="35"/>
      <c r="L36" s="35"/>
      <c r="M36" s="35"/>
      <c r="N36" s="28">
        <v>5</v>
      </c>
      <c r="O36" s="28">
        <f>12+(6-N36)</f>
        <v>13</v>
      </c>
      <c r="P36" s="35"/>
      <c r="Q36" s="35"/>
      <c r="R36" s="28">
        <v>5</v>
      </c>
      <c r="S36" s="28">
        <f>12+(6-R36)</f>
        <v>13</v>
      </c>
      <c r="T36" s="35"/>
      <c r="U36" s="35"/>
      <c r="V36" s="35"/>
      <c r="W36" s="35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  <c r="DD36" s="27"/>
      <c r="DE36" s="27"/>
      <c r="DF36" s="27"/>
      <c r="DG36" s="27"/>
      <c r="DH36" s="27"/>
      <c r="DI36" s="27"/>
      <c r="DJ36" s="27"/>
      <c r="DK36" s="27"/>
      <c r="DL36" s="27"/>
      <c r="DM36" s="27"/>
      <c r="DN36" s="27"/>
      <c r="DO36" s="27"/>
      <c r="DP36" s="27"/>
      <c r="DQ36" s="27"/>
      <c r="DR36" s="27"/>
      <c r="DS36" s="27"/>
      <c r="DT36" s="27"/>
      <c r="DU36" s="27"/>
      <c r="DV36" s="27"/>
      <c r="DW36" s="27"/>
      <c r="DX36" s="27"/>
      <c r="DY36" s="27"/>
      <c r="DZ36" s="27"/>
      <c r="EA36" s="27"/>
      <c r="EB36" s="27"/>
      <c r="EC36" s="27"/>
      <c r="ED36" s="27"/>
      <c r="EE36" s="27"/>
      <c r="EF36" s="27"/>
      <c r="EG36" s="27"/>
      <c r="EH36" s="27"/>
      <c r="EI36" s="27"/>
      <c r="EJ36" s="27"/>
      <c r="EK36" s="27"/>
      <c r="EL36" s="27"/>
      <c r="EM36" s="27"/>
      <c r="EN36" s="27"/>
      <c r="EO36" s="27"/>
      <c r="EP36" s="27"/>
      <c r="EQ36" s="27"/>
      <c r="ER36" s="27"/>
      <c r="ES36" s="27"/>
      <c r="ET36" s="27"/>
      <c r="EU36" s="27"/>
      <c r="EV36" s="27"/>
      <c r="EW36" s="27"/>
      <c r="EX36" s="27"/>
      <c r="EY36" s="27"/>
      <c r="EZ36" s="27"/>
      <c r="FA36" s="27"/>
      <c r="FB36" s="27"/>
      <c r="FC36" s="27"/>
      <c r="FD36" s="27"/>
      <c r="FE36" s="27"/>
      <c r="FF36" s="27"/>
      <c r="FG36" s="27"/>
      <c r="FH36" s="27"/>
      <c r="FI36" s="27"/>
      <c r="FJ36" s="27"/>
      <c r="FK36" s="27"/>
      <c r="FL36" s="27"/>
      <c r="FM36" s="27"/>
      <c r="FN36" s="27"/>
      <c r="FO36" s="27"/>
      <c r="FP36" s="27"/>
      <c r="FQ36" s="27"/>
      <c r="FR36" s="27"/>
      <c r="FS36" s="27"/>
      <c r="FT36" s="27"/>
      <c r="FU36" s="27"/>
      <c r="FV36" s="27"/>
      <c r="FW36" s="27"/>
      <c r="FX36" s="27"/>
      <c r="FY36" s="27"/>
      <c r="FZ36" s="27"/>
      <c r="GA36" s="27"/>
      <c r="GB36" s="27"/>
      <c r="GC36" s="27"/>
      <c r="GD36" s="27"/>
      <c r="GE36" s="27"/>
      <c r="GF36" s="27"/>
      <c r="GG36" s="27"/>
      <c r="GH36" s="27"/>
      <c r="GI36" s="27"/>
      <c r="GJ36" s="27"/>
      <c r="GK36" s="27"/>
      <c r="GL36" s="27"/>
      <c r="GM36" s="27"/>
      <c r="GN36" s="27"/>
      <c r="GO36" s="27"/>
      <c r="GP36" s="27"/>
      <c r="GQ36" s="27"/>
      <c r="GR36" s="27"/>
      <c r="GS36" s="27"/>
      <c r="GT36" s="27"/>
      <c r="GU36" s="27"/>
      <c r="GV36" s="27"/>
      <c r="GW36" s="27"/>
      <c r="GX36" s="27"/>
      <c r="GY36" s="27"/>
      <c r="GZ36" s="27"/>
      <c r="HA36" s="27"/>
      <c r="HB36" s="27"/>
      <c r="HC36" s="27"/>
      <c r="HD36" s="27"/>
      <c r="HE36" s="27"/>
      <c r="HF36" s="27"/>
      <c r="HG36" s="27"/>
      <c r="HH36" s="27"/>
      <c r="HI36" s="27"/>
      <c r="HJ36" s="27"/>
      <c r="HK36" s="27"/>
      <c r="HL36" s="27"/>
      <c r="HM36" s="27"/>
      <c r="HN36" s="27"/>
      <c r="HO36" s="27"/>
      <c r="HP36" s="27"/>
      <c r="HQ36" s="27"/>
      <c r="HR36" s="27"/>
      <c r="HS36" s="27"/>
    </row>
    <row r="37" spans="1:228" s="38" customFormat="1" ht="22.5" x14ac:dyDescent="0.25">
      <c r="A37" s="32" t="s">
        <v>460</v>
      </c>
      <c r="B37" s="40">
        <v>29</v>
      </c>
      <c r="C37" s="30" t="s">
        <v>192</v>
      </c>
      <c r="D37" s="30" t="s">
        <v>193</v>
      </c>
      <c r="E37" s="40" t="s">
        <v>41</v>
      </c>
      <c r="F37" s="61" t="s">
        <v>140</v>
      </c>
      <c r="G37" s="33">
        <f t="shared" si="1"/>
        <v>22</v>
      </c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28">
        <v>8</v>
      </c>
      <c r="W37" s="28">
        <f>6+(24-V37)</f>
        <v>22</v>
      </c>
    </row>
    <row r="38" spans="1:228" s="38" customFormat="1" ht="19.5" customHeight="1" x14ac:dyDescent="0.25">
      <c r="A38" s="28" t="s">
        <v>69</v>
      </c>
      <c r="B38" s="40">
        <v>30</v>
      </c>
      <c r="C38" s="29" t="s">
        <v>87</v>
      </c>
      <c r="D38" s="30" t="s">
        <v>88</v>
      </c>
      <c r="E38" s="28" t="s">
        <v>41</v>
      </c>
      <c r="F38" s="28" t="s">
        <v>46</v>
      </c>
      <c r="G38" s="33">
        <f t="shared" si="1"/>
        <v>19</v>
      </c>
      <c r="H38" s="35"/>
      <c r="I38" s="35"/>
      <c r="J38" s="35"/>
      <c r="K38" s="35"/>
      <c r="L38" s="35"/>
      <c r="M38" s="35"/>
      <c r="N38" s="28">
        <v>3</v>
      </c>
      <c r="O38" s="28">
        <f>16+(6-N38)</f>
        <v>19</v>
      </c>
      <c r="P38" s="63" t="s">
        <v>89</v>
      </c>
      <c r="Q38" s="35"/>
      <c r="R38" s="35"/>
      <c r="S38" s="35"/>
      <c r="T38" s="35"/>
      <c r="U38" s="35"/>
      <c r="V38" s="35"/>
      <c r="W38" s="35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</row>
    <row r="39" spans="1:228" ht="18.75" customHeight="1" x14ac:dyDescent="0.25">
      <c r="A39" s="64" t="s">
        <v>69</v>
      </c>
      <c r="B39" s="40">
        <v>30</v>
      </c>
      <c r="C39" s="30" t="s">
        <v>195</v>
      </c>
      <c r="D39" s="30" t="s">
        <v>196</v>
      </c>
      <c r="E39" s="50" t="s">
        <v>41</v>
      </c>
      <c r="F39" s="44" t="s">
        <v>140</v>
      </c>
      <c r="G39" s="33">
        <f t="shared" si="1"/>
        <v>19</v>
      </c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28">
        <v>3</v>
      </c>
      <c r="S39" s="28">
        <f>16+(6-R39)</f>
        <v>19</v>
      </c>
      <c r="T39" s="35"/>
      <c r="U39" s="35"/>
      <c r="V39" s="35"/>
      <c r="W39" s="35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  <c r="BM39" s="38"/>
      <c r="BN39" s="38"/>
      <c r="BO39" s="38"/>
      <c r="BP39" s="38"/>
      <c r="BQ39" s="38"/>
      <c r="BR39" s="38"/>
      <c r="BS39" s="38"/>
      <c r="BT39" s="38"/>
      <c r="BU39" s="38"/>
      <c r="BV39" s="38"/>
      <c r="BW39" s="38"/>
      <c r="BX39" s="38"/>
      <c r="BY39" s="38"/>
      <c r="BZ39" s="38"/>
      <c r="CA39" s="38"/>
      <c r="CB39" s="38"/>
      <c r="CC39" s="38"/>
      <c r="CD39" s="38"/>
      <c r="CE39" s="38"/>
      <c r="CF39" s="38"/>
      <c r="CG39" s="38"/>
      <c r="CH39" s="38"/>
      <c r="CI39" s="38"/>
      <c r="CJ39" s="38"/>
      <c r="CK39" s="38"/>
      <c r="CL39" s="38"/>
      <c r="CM39" s="38"/>
      <c r="CN39" s="38"/>
      <c r="CO39" s="38"/>
      <c r="CP39" s="38"/>
      <c r="CQ39" s="38"/>
      <c r="CR39" s="38"/>
      <c r="CS39" s="38"/>
      <c r="CT39" s="38"/>
      <c r="CU39" s="38"/>
      <c r="CV39" s="38"/>
      <c r="CW39" s="38"/>
      <c r="CX39" s="38"/>
      <c r="CY39" s="38"/>
      <c r="CZ39" s="38"/>
      <c r="DA39" s="38"/>
      <c r="DB39" s="38"/>
      <c r="DC39" s="38"/>
      <c r="DD39" s="38"/>
      <c r="DE39" s="38"/>
      <c r="DF39" s="38"/>
      <c r="DG39" s="38"/>
      <c r="DH39" s="38"/>
      <c r="DI39" s="38"/>
      <c r="DJ39" s="38"/>
      <c r="DK39" s="38"/>
      <c r="DL39" s="38"/>
      <c r="DM39" s="38"/>
      <c r="DN39" s="38"/>
      <c r="DO39" s="38"/>
      <c r="DP39" s="38"/>
      <c r="DQ39" s="38"/>
      <c r="DR39" s="38"/>
      <c r="DS39" s="38"/>
      <c r="DT39" s="38"/>
      <c r="DU39" s="38"/>
      <c r="DV39" s="38"/>
      <c r="DW39" s="38"/>
      <c r="DX39" s="38"/>
      <c r="DY39" s="38"/>
      <c r="DZ39" s="38"/>
      <c r="EA39" s="38"/>
      <c r="EB39" s="38"/>
      <c r="EC39" s="38"/>
      <c r="ED39" s="38"/>
      <c r="EE39" s="38"/>
      <c r="EF39" s="38"/>
      <c r="EG39" s="38"/>
      <c r="EH39" s="38"/>
      <c r="EI39" s="38"/>
      <c r="EJ39" s="38"/>
      <c r="EK39" s="38"/>
      <c r="EL39" s="38"/>
      <c r="EM39" s="38"/>
      <c r="EN39" s="38"/>
      <c r="EO39" s="38"/>
      <c r="EP39" s="38"/>
      <c r="EQ39" s="38"/>
      <c r="ER39" s="38"/>
      <c r="ES39" s="38"/>
      <c r="ET39" s="38"/>
      <c r="EU39" s="38"/>
      <c r="EV39" s="38"/>
      <c r="EW39" s="38"/>
      <c r="EX39" s="38"/>
      <c r="EY39" s="38"/>
      <c r="EZ39" s="38"/>
      <c r="FA39" s="38"/>
      <c r="FB39" s="38"/>
      <c r="FC39" s="38"/>
      <c r="FD39" s="38"/>
      <c r="FE39" s="38"/>
      <c r="FF39" s="38"/>
      <c r="FG39" s="38"/>
      <c r="FH39" s="38"/>
      <c r="FI39" s="38"/>
      <c r="FJ39" s="38"/>
      <c r="FK39" s="38"/>
      <c r="FL39" s="38"/>
      <c r="FM39" s="38"/>
      <c r="FN39" s="38"/>
      <c r="FO39" s="38"/>
      <c r="FP39" s="38"/>
      <c r="FQ39" s="38"/>
      <c r="FR39" s="38"/>
      <c r="FS39" s="38"/>
      <c r="FT39" s="38"/>
      <c r="FU39" s="38"/>
      <c r="FV39" s="38"/>
      <c r="FW39" s="38"/>
      <c r="FX39" s="38"/>
      <c r="FY39" s="38"/>
      <c r="FZ39" s="38"/>
      <c r="GA39" s="38"/>
      <c r="GB39" s="38"/>
      <c r="GC39" s="38"/>
      <c r="GD39" s="38"/>
      <c r="GE39" s="38"/>
      <c r="GF39" s="38"/>
      <c r="GG39" s="38"/>
      <c r="GH39" s="38"/>
      <c r="GI39" s="38"/>
      <c r="GJ39" s="38"/>
      <c r="GK39" s="38"/>
      <c r="GL39" s="38"/>
      <c r="GM39" s="38"/>
      <c r="GN39" s="38"/>
      <c r="GO39" s="38"/>
      <c r="GP39" s="38"/>
      <c r="GQ39" s="38"/>
      <c r="GR39" s="38"/>
      <c r="GS39" s="38"/>
      <c r="GT39" s="38"/>
      <c r="GU39" s="38"/>
      <c r="GV39" s="38"/>
      <c r="GW39" s="38"/>
      <c r="GX39" s="38"/>
      <c r="GY39" s="38"/>
      <c r="GZ39" s="38"/>
      <c r="HA39" s="38"/>
      <c r="HB39" s="38"/>
      <c r="HC39" s="38"/>
      <c r="HD39" s="38"/>
      <c r="HE39" s="38"/>
      <c r="HF39" s="38"/>
      <c r="HG39" s="38"/>
      <c r="HH39" s="38"/>
      <c r="HI39" s="38"/>
      <c r="HJ39" s="38"/>
      <c r="HK39" s="38"/>
      <c r="HL39" s="38"/>
      <c r="HM39" s="38"/>
      <c r="HN39" s="38"/>
      <c r="HO39" s="38"/>
      <c r="HP39" s="38"/>
      <c r="HQ39" s="38"/>
      <c r="HR39" s="38"/>
      <c r="HS39" s="38"/>
      <c r="HT39" s="38"/>
    </row>
    <row r="40" spans="1:228" ht="18.75" customHeight="1" x14ac:dyDescent="0.25">
      <c r="A40" s="64" t="s">
        <v>69</v>
      </c>
      <c r="B40" s="40">
        <v>30</v>
      </c>
      <c r="C40" s="30" t="s">
        <v>199</v>
      </c>
      <c r="D40" s="30" t="s">
        <v>200</v>
      </c>
      <c r="E40" s="50" t="s">
        <v>41</v>
      </c>
      <c r="F40" s="44" t="s">
        <v>140</v>
      </c>
      <c r="G40" s="33">
        <f>I40+K40+M40+O40+Q40+S40+U40+W40</f>
        <v>19</v>
      </c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28">
        <v>3</v>
      </c>
      <c r="S40" s="28">
        <f>16+(6-R40)</f>
        <v>19</v>
      </c>
      <c r="T40" s="35"/>
      <c r="U40" s="35"/>
      <c r="V40" s="35"/>
      <c r="W40" s="35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  <c r="BM40" s="38"/>
      <c r="BN40" s="38"/>
      <c r="BO40" s="38"/>
      <c r="BP40" s="38"/>
      <c r="BQ40" s="38"/>
      <c r="BR40" s="38"/>
      <c r="BS40" s="38"/>
      <c r="BT40" s="38"/>
      <c r="BU40" s="38"/>
      <c r="BV40" s="38"/>
      <c r="BW40" s="38"/>
      <c r="BX40" s="38"/>
      <c r="BY40" s="38"/>
      <c r="BZ40" s="38"/>
      <c r="CA40" s="38"/>
      <c r="CB40" s="38"/>
      <c r="CC40" s="38"/>
      <c r="CD40" s="38"/>
      <c r="CE40" s="38"/>
      <c r="CF40" s="38"/>
      <c r="CG40" s="38"/>
      <c r="CH40" s="38"/>
      <c r="CI40" s="38"/>
      <c r="CJ40" s="38"/>
      <c r="CK40" s="38"/>
      <c r="CL40" s="38"/>
      <c r="CM40" s="38"/>
      <c r="CN40" s="38"/>
      <c r="CO40" s="38"/>
      <c r="CP40" s="38"/>
      <c r="CQ40" s="38"/>
      <c r="CR40" s="38"/>
      <c r="CS40" s="38"/>
      <c r="CT40" s="38"/>
      <c r="CU40" s="38"/>
      <c r="CV40" s="38"/>
      <c r="CW40" s="38"/>
      <c r="CX40" s="38"/>
      <c r="CY40" s="38"/>
      <c r="CZ40" s="38"/>
      <c r="DA40" s="38"/>
      <c r="DB40" s="38"/>
      <c r="DC40" s="38"/>
      <c r="DD40" s="38"/>
      <c r="DE40" s="38"/>
      <c r="DF40" s="38"/>
      <c r="DG40" s="38"/>
      <c r="DH40" s="38"/>
      <c r="DI40" s="38"/>
      <c r="DJ40" s="38"/>
      <c r="DK40" s="38"/>
      <c r="DL40" s="38"/>
      <c r="DM40" s="38"/>
      <c r="DN40" s="38"/>
      <c r="DO40" s="38"/>
      <c r="DP40" s="38"/>
      <c r="DQ40" s="38"/>
      <c r="DR40" s="38"/>
      <c r="DS40" s="38"/>
      <c r="DT40" s="38"/>
      <c r="DU40" s="38"/>
      <c r="DV40" s="38"/>
      <c r="DW40" s="38"/>
      <c r="DX40" s="38"/>
      <c r="DY40" s="38"/>
      <c r="DZ40" s="38"/>
      <c r="EA40" s="38"/>
      <c r="EB40" s="38"/>
      <c r="EC40" s="38"/>
      <c r="ED40" s="38"/>
      <c r="EE40" s="38"/>
      <c r="EF40" s="38"/>
      <c r="EG40" s="38"/>
      <c r="EH40" s="38"/>
      <c r="EI40" s="38"/>
      <c r="EJ40" s="38"/>
      <c r="EK40" s="38"/>
      <c r="EL40" s="38"/>
      <c r="EM40" s="38"/>
      <c r="EN40" s="38"/>
      <c r="EO40" s="38"/>
      <c r="EP40" s="38"/>
      <c r="EQ40" s="38"/>
      <c r="ER40" s="38"/>
      <c r="ES40" s="38"/>
      <c r="ET40" s="38"/>
      <c r="EU40" s="38"/>
      <c r="EV40" s="38"/>
      <c r="EW40" s="38"/>
      <c r="EX40" s="38"/>
      <c r="EY40" s="38"/>
      <c r="EZ40" s="38"/>
      <c r="FA40" s="38"/>
      <c r="FB40" s="38"/>
      <c r="FC40" s="38"/>
      <c r="FD40" s="38"/>
      <c r="FE40" s="38"/>
      <c r="FF40" s="38"/>
      <c r="FG40" s="38"/>
      <c r="FH40" s="38"/>
      <c r="FI40" s="38"/>
      <c r="FJ40" s="38"/>
      <c r="FK40" s="38"/>
      <c r="FL40" s="38"/>
      <c r="FM40" s="38"/>
      <c r="FN40" s="38"/>
      <c r="FO40" s="38"/>
      <c r="FP40" s="38"/>
      <c r="FQ40" s="38"/>
      <c r="FR40" s="38"/>
      <c r="FS40" s="38"/>
      <c r="FT40" s="38"/>
      <c r="FU40" s="38"/>
      <c r="FV40" s="38"/>
      <c r="FW40" s="38"/>
      <c r="FX40" s="38"/>
      <c r="FY40" s="38"/>
      <c r="FZ40" s="38"/>
      <c r="GA40" s="38"/>
      <c r="GB40" s="38"/>
      <c r="GC40" s="38"/>
      <c r="GD40" s="38"/>
      <c r="GE40" s="38"/>
      <c r="GF40" s="38"/>
      <c r="GG40" s="38"/>
      <c r="GH40" s="38"/>
      <c r="GI40" s="38"/>
      <c r="GJ40" s="38"/>
      <c r="GK40" s="38"/>
      <c r="GL40" s="38"/>
      <c r="GM40" s="38"/>
      <c r="GN40" s="38"/>
      <c r="GO40" s="38"/>
      <c r="GP40" s="38"/>
      <c r="GQ40" s="38"/>
      <c r="GR40" s="38"/>
      <c r="GS40" s="38"/>
      <c r="GT40" s="38"/>
      <c r="GU40" s="38"/>
      <c r="GV40" s="38"/>
      <c r="GW40" s="38"/>
      <c r="GX40" s="38"/>
      <c r="GY40" s="38"/>
      <c r="GZ40" s="38"/>
      <c r="HA40" s="38"/>
      <c r="HB40" s="38"/>
      <c r="HC40" s="38"/>
      <c r="HD40" s="38"/>
      <c r="HE40" s="38"/>
      <c r="HF40" s="38"/>
      <c r="HG40" s="38"/>
      <c r="HH40" s="38"/>
      <c r="HI40" s="38"/>
      <c r="HJ40" s="38"/>
      <c r="HK40" s="38"/>
      <c r="HL40" s="38"/>
      <c r="HM40" s="38"/>
      <c r="HN40" s="38"/>
      <c r="HO40" s="38"/>
      <c r="HP40" s="38"/>
      <c r="HQ40" s="38"/>
      <c r="HR40" s="38"/>
      <c r="HS40" s="38"/>
      <c r="HT40" s="38"/>
    </row>
    <row r="41" spans="1:228" ht="18.75" customHeight="1" x14ac:dyDescent="0.25">
      <c r="A41" s="64" t="s">
        <v>69</v>
      </c>
      <c r="B41" s="40">
        <v>33</v>
      </c>
      <c r="C41" s="30" t="s">
        <v>197</v>
      </c>
      <c r="D41" s="30" t="s">
        <v>198</v>
      </c>
      <c r="E41" s="28" t="s">
        <v>41</v>
      </c>
      <c r="F41" s="44" t="s">
        <v>140</v>
      </c>
      <c r="G41" s="33">
        <f t="shared" si="1"/>
        <v>18</v>
      </c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28">
        <v>8</v>
      </c>
      <c r="U41" s="28">
        <f>6+(20-T41)</f>
        <v>18</v>
      </c>
      <c r="V41" s="35"/>
      <c r="W41" s="35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  <c r="BR41" s="38"/>
      <c r="BS41" s="38"/>
      <c r="BT41" s="38"/>
      <c r="BU41" s="38"/>
      <c r="BV41" s="38"/>
      <c r="BW41" s="38"/>
      <c r="BX41" s="38"/>
      <c r="BY41" s="38"/>
      <c r="BZ41" s="38"/>
      <c r="CA41" s="38"/>
      <c r="CB41" s="38"/>
      <c r="CC41" s="38"/>
      <c r="CD41" s="38"/>
      <c r="CE41" s="38"/>
      <c r="CF41" s="38"/>
      <c r="CG41" s="38"/>
      <c r="CH41" s="38"/>
      <c r="CI41" s="38"/>
      <c r="CJ41" s="38"/>
      <c r="CK41" s="38"/>
      <c r="CL41" s="38"/>
      <c r="CM41" s="38"/>
      <c r="CN41" s="38"/>
      <c r="CO41" s="38"/>
      <c r="CP41" s="38"/>
      <c r="CQ41" s="38"/>
      <c r="CR41" s="38"/>
      <c r="CS41" s="38"/>
      <c r="CT41" s="38"/>
      <c r="CU41" s="38"/>
      <c r="CV41" s="38"/>
      <c r="CW41" s="38"/>
      <c r="CX41" s="38"/>
      <c r="CY41" s="38"/>
      <c r="CZ41" s="38"/>
      <c r="DA41" s="38"/>
      <c r="DB41" s="38"/>
      <c r="DC41" s="38"/>
      <c r="DD41" s="38"/>
      <c r="DE41" s="38"/>
      <c r="DF41" s="38"/>
      <c r="DG41" s="38"/>
      <c r="DH41" s="38"/>
      <c r="DI41" s="38"/>
      <c r="DJ41" s="38"/>
      <c r="DK41" s="38"/>
      <c r="DL41" s="38"/>
      <c r="DM41" s="38"/>
      <c r="DN41" s="38"/>
      <c r="DO41" s="38"/>
      <c r="DP41" s="38"/>
      <c r="DQ41" s="38"/>
      <c r="DR41" s="38"/>
      <c r="DS41" s="38"/>
      <c r="DT41" s="38"/>
      <c r="DU41" s="38"/>
      <c r="DV41" s="38"/>
      <c r="DW41" s="38"/>
      <c r="DX41" s="38"/>
      <c r="DY41" s="38"/>
      <c r="DZ41" s="38"/>
      <c r="EA41" s="38"/>
      <c r="EB41" s="38"/>
      <c r="EC41" s="38"/>
      <c r="ED41" s="38"/>
      <c r="EE41" s="38"/>
      <c r="EF41" s="38"/>
      <c r="EG41" s="38"/>
      <c r="EH41" s="38"/>
      <c r="EI41" s="38"/>
      <c r="EJ41" s="38"/>
      <c r="EK41" s="38"/>
      <c r="EL41" s="38"/>
      <c r="EM41" s="38"/>
      <c r="EN41" s="38"/>
      <c r="EO41" s="38"/>
      <c r="EP41" s="38"/>
      <c r="EQ41" s="38"/>
      <c r="ER41" s="38"/>
      <c r="ES41" s="38"/>
      <c r="ET41" s="38"/>
      <c r="EU41" s="38"/>
      <c r="EV41" s="38"/>
      <c r="EW41" s="38"/>
      <c r="EX41" s="38"/>
      <c r="EY41" s="38"/>
      <c r="EZ41" s="38"/>
      <c r="FA41" s="38"/>
      <c r="FB41" s="38"/>
      <c r="FC41" s="38"/>
      <c r="FD41" s="38"/>
      <c r="FE41" s="38"/>
      <c r="FF41" s="38"/>
      <c r="FG41" s="38"/>
      <c r="FH41" s="38"/>
      <c r="FI41" s="38"/>
      <c r="FJ41" s="38"/>
      <c r="FK41" s="38"/>
      <c r="FL41" s="38"/>
      <c r="FM41" s="38"/>
      <c r="FN41" s="38"/>
      <c r="FO41" s="38"/>
      <c r="FP41" s="38"/>
      <c r="FQ41" s="38"/>
      <c r="FR41" s="38"/>
      <c r="FS41" s="38"/>
      <c r="FT41" s="38"/>
      <c r="FU41" s="38"/>
      <c r="FV41" s="38"/>
      <c r="FW41" s="38"/>
      <c r="FX41" s="38"/>
      <c r="FY41" s="38"/>
      <c r="FZ41" s="38"/>
      <c r="GA41" s="38"/>
      <c r="GB41" s="38"/>
      <c r="GC41" s="38"/>
      <c r="GD41" s="38"/>
      <c r="GE41" s="38"/>
      <c r="GF41" s="38"/>
      <c r="GG41" s="38"/>
      <c r="GH41" s="38"/>
      <c r="GI41" s="38"/>
      <c r="GJ41" s="38"/>
      <c r="GK41" s="38"/>
      <c r="GL41" s="38"/>
      <c r="GM41" s="38"/>
      <c r="GN41" s="38"/>
      <c r="GO41" s="38"/>
      <c r="GP41" s="38"/>
      <c r="GQ41" s="38"/>
      <c r="GR41" s="38"/>
      <c r="GS41" s="38"/>
      <c r="GT41" s="38"/>
      <c r="GU41" s="38"/>
      <c r="GV41" s="38"/>
      <c r="GW41" s="38"/>
      <c r="GX41" s="38"/>
      <c r="GY41" s="38"/>
      <c r="GZ41" s="38"/>
      <c r="HA41" s="38"/>
      <c r="HB41" s="38"/>
      <c r="HC41" s="38"/>
      <c r="HD41" s="38"/>
      <c r="HE41" s="38"/>
      <c r="HF41" s="38"/>
      <c r="HG41" s="38"/>
      <c r="HH41" s="38"/>
      <c r="HI41" s="38"/>
      <c r="HJ41" s="38"/>
      <c r="HK41" s="38"/>
      <c r="HL41" s="38"/>
      <c r="HM41" s="38"/>
      <c r="HN41" s="38"/>
      <c r="HO41" s="38"/>
      <c r="HP41" s="38"/>
      <c r="HQ41" s="38"/>
      <c r="HR41" s="38"/>
      <c r="HS41" s="38"/>
      <c r="HT41" s="38"/>
    </row>
    <row r="42" spans="1:228" s="38" customFormat="1" ht="18.75" customHeight="1" x14ac:dyDescent="0.25">
      <c r="A42" s="64" t="s">
        <v>69</v>
      </c>
      <c r="B42" s="40">
        <v>34</v>
      </c>
      <c r="C42" s="29" t="s">
        <v>201</v>
      </c>
      <c r="D42" s="30" t="s">
        <v>202</v>
      </c>
      <c r="E42" s="40" t="s">
        <v>41</v>
      </c>
      <c r="F42" s="28" t="s">
        <v>134</v>
      </c>
      <c r="G42" s="33">
        <f t="shared" si="1"/>
        <v>16</v>
      </c>
      <c r="H42" s="28">
        <v>10</v>
      </c>
      <c r="I42" s="28">
        <f>2+(14-H42)</f>
        <v>6</v>
      </c>
      <c r="J42" s="28">
        <v>9</v>
      </c>
      <c r="K42" s="28">
        <f>4+(15-J42)</f>
        <v>10</v>
      </c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</row>
    <row r="43" spans="1:228" s="38" customFormat="1" ht="18.75" customHeight="1" x14ac:dyDescent="0.25">
      <c r="A43" s="64" t="s">
        <v>69</v>
      </c>
      <c r="B43" s="40">
        <v>35</v>
      </c>
      <c r="C43" s="29" t="s">
        <v>203</v>
      </c>
      <c r="D43" s="30" t="s">
        <v>204</v>
      </c>
      <c r="E43" s="50" t="s">
        <v>41</v>
      </c>
      <c r="F43" s="28" t="s">
        <v>122</v>
      </c>
      <c r="G43" s="33">
        <f t="shared" si="1"/>
        <v>12</v>
      </c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28">
        <v>10</v>
      </c>
      <c r="U43" s="28">
        <f>2+(20-T43)</f>
        <v>12</v>
      </c>
      <c r="V43" s="35"/>
      <c r="W43" s="35"/>
      <c r="HT43" s="1"/>
    </row>
    <row r="44" spans="1:228" s="38" customFormat="1" ht="18.75" customHeight="1" x14ac:dyDescent="0.25">
      <c r="A44" s="64" t="s">
        <v>69</v>
      </c>
      <c r="B44" s="40">
        <v>36</v>
      </c>
      <c r="C44" s="30" t="s">
        <v>205</v>
      </c>
      <c r="D44" s="30" t="s">
        <v>206</v>
      </c>
      <c r="E44" s="40" t="s">
        <v>41</v>
      </c>
      <c r="F44" s="61" t="s">
        <v>140</v>
      </c>
      <c r="G44" s="33">
        <f t="shared" si="1"/>
        <v>10</v>
      </c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28">
        <v>14</v>
      </c>
      <c r="W44" s="28">
        <f>(24-V44)</f>
        <v>10</v>
      </c>
    </row>
    <row r="45" spans="1:228" s="38" customFormat="1" ht="18.75" customHeight="1" x14ac:dyDescent="0.25">
      <c r="A45" s="64" t="s">
        <v>69</v>
      </c>
      <c r="B45" s="40">
        <v>37</v>
      </c>
      <c r="C45" s="65" t="s">
        <v>207</v>
      </c>
      <c r="D45" s="65" t="s">
        <v>208</v>
      </c>
      <c r="E45" s="32" t="s">
        <v>41</v>
      </c>
      <c r="F45" s="44" t="s">
        <v>140</v>
      </c>
      <c r="G45" s="33">
        <f t="shared" si="1"/>
        <v>10</v>
      </c>
      <c r="H45" s="35"/>
      <c r="I45" s="35"/>
      <c r="J45" s="35"/>
      <c r="K45" s="35"/>
      <c r="L45" s="35"/>
      <c r="M45" s="35"/>
      <c r="N45" s="28">
        <v>6</v>
      </c>
      <c r="O45" s="28">
        <f>10+(6-N45)</f>
        <v>10</v>
      </c>
      <c r="P45" s="35"/>
      <c r="Q45" s="35"/>
      <c r="R45" s="35"/>
      <c r="S45" s="35"/>
      <c r="T45" s="35"/>
      <c r="U45" s="35"/>
      <c r="V45" s="35"/>
      <c r="W45" s="35"/>
    </row>
    <row r="46" spans="1:228" s="38" customFormat="1" ht="18.75" customHeight="1" x14ac:dyDescent="0.25">
      <c r="A46" s="64" t="s">
        <v>69</v>
      </c>
      <c r="B46" s="40">
        <v>38</v>
      </c>
      <c r="C46" s="30" t="s">
        <v>209</v>
      </c>
      <c r="D46" s="30" t="s">
        <v>210</v>
      </c>
      <c r="E46" s="40" t="s">
        <v>41</v>
      </c>
      <c r="F46" s="61" t="s">
        <v>140</v>
      </c>
      <c r="G46" s="33">
        <f t="shared" si="1"/>
        <v>9</v>
      </c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28">
        <v>11</v>
      </c>
      <c r="U46" s="28">
        <f>(20-T46)</f>
        <v>9</v>
      </c>
      <c r="V46" s="35"/>
      <c r="W46" s="35"/>
    </row>
    <row r="47" spans="1:228" s="38" customFormat="1" ht="18.75" customHeight="1" x14ac:dyDescent="0.25">
      <c r="A47" s="64" t="s">
        <v>69</v>
      </c>
      <c r="B47" s="40">
        <v>39</v>
      </c>
      <c r="C47" s="30" t="s">
        <v>211</v>
      </c>
      <c r="D47" s="30" t="s">
        <v>212</v>
      </c>
      <c r="E47" s="28" t="s">
        <v>41</v>
      </c>
      <c r="F47" s="28" t="s">
        <v>128</v>
      </c>
      <c r="G47" s="33">
        <f t="shared" si="1"/>
        <v>7</v>
      </c>
      <c r="H47" s="35"/>
      <c r="I47" s="35"/>
      <c r="J47" s="35"/>
      <c r="K47" s="35"/>
      <c r="L47" s="28">
        <v>11</v>
      </c>
      <c r="M47" s="28">
        <f>(18-L47)</f>
        <v>7</v>
      </c>
      <c r="N47" s="35"/>
      <c r="O47" s="35"/>
      <c r="P47" s="35"/>
      <c r="Q47" s="35"/>
      <c r="R47" s="35"/>
      <c r="S47" s="35"/>
      <c r="T47" s="28" t="s">
        <v>69</v>
      </c>
      <c r="U47" s="28">
        <v>0</v>
      </c>
      <c r="V47" s="35"/>
      <c r="W47" s="35"/>
    </row>
    <row r="48" spans="1:228" s="38" customFormat="1" ht="18.75" customHeight="1" x14ac:dyDescent="0.25">
      <c r="A48" s="64" t="s">
        <v>69</v>
      </c>
      <c r="B48" s="40">
        <v>40</v>
      </c>
      <c r="C48" s="30" t="s">
        <v>213</v>
      </c>
      <c r="D48" s="30" t="s">
        <v>214</v>
      </c>
      <c r="E48" s="40" t="s">
        <v>41</v>
      </c>
      <c r="F48" s="61" t="s">
        <v>140</v>
      </c>
      <c r="G48" s="33">
        <f t="shared" si="1"/>
        <v>6</v>
      </c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28">
        <v>18</v>
      </c>
      <c r="W48" s="28">
        <f>(24-V48)</f>
        <v>6</v>
      </c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7"/>
      <c r="BU48" s="27"/>
      <c r="BV48" s="27"/>
      <c r="BW48" s="27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  <c r="CV48" s="27"/>
      <c r="CW48" s="27"/>
      <c r="CX48" s="27"/>
      <c r="CY48" s="27"/>
      <c r="CZ48" s="27"/>
      <c r="DA48" s="27"/>
      <c r="DB48" s="27"/>
      <c r="DC48" s="27"/>
      <c r="DD48" s="27"/>
      <c r="DE48" s="27"/>
      <c r="DF48" s="27"/>
      <c r="DG48" s="27"/>
      <c r="DH48" s="27"/>
      <c r="DI48" s="27"/>
      <c r="DJ48" s="27"/>
      <c r="DK48" s="27"/>
      <c r="DL48" s="27"/>
      <c r="DM48" s="27"/>
      <c r="DN48" s="27"/>
      <c r="DO48" s="27"/>
      <c r="DP48" s="27"/>
      <c r="DQ48" s="27"/>
      <c r="DR48" s="27"/>
      <c r="DS48" s="27"/>
      <c r="DT48" s="27"/>
      <c r="DU48" s="27"/>
      <c r="DV48" s="27"/>
      <c r="DW48" s="27"/>
      <c r="DX48" s="27"/>
      <c r="DY48" s="27"/>
      <c r="DZ48" s="27"/>
      <c r="EA48" s="27"/>
      <c r="EB48" s="27"/>
      <c r="EC48" s="27"/>
      <c r="ED48" s="27"/>
      <c r="EE48" s="27"/>
      <c r="EF48" s="27"/>
      <c r="EG48" s="27"/>
      <c r="EH48" s="27"/>
      <c r="EI48" s="27"/>
      <c r="EJ48" s="27"/>
      <c r="EK48" s="27"/>
      <c r="EL48" s="27"/>
      <c r="EM48" s="27"/>
      <c r="EN48" s="27"/>
      <c r="EO48" s="27"/>
      <c r="EP48" s="27"/>
      <c r="EQ48" s="27"/>
      <c r="ER48" s="27"/>
      <c r="ES48" s="27"/>
      <c r="ET48" s="27"/>
      <c r="EU48" s="27"/>
      <c r="EV48" s="27"/>
      <c r="EW48" s="27"/>
      <c r="EX48" s="27"/>
      <c r="EY48" s="27"/>
      <c r="EZ48" s="27"/>
      <c r="FA48" s="27"/>
      <c r="FB48" s="27"/>
      <c r="FC48" s="27"/>
      <c r="FD48" s="27"/>
      <c r="FE48" s="27"/>
      <c r="FF48" s="27"/>
      <c r="FG48" s="27"/>
      <c r="FH48" s="27"/>
      <c r="FI48" s="27"/>
      <c r="FJ48" s="27"/>
      <c r="FK48" s="27"/>
      <c r="FL48" s="27"/>
      <c r="FM48" s="27"/>
      <c r="FN48" s="27"/>
      <c r="FO48" s="27"/>
      <c r="FP48" s="27"/>
      <c r="FQ48" s="27"/>
      <c r="FR48" s="27"/>
      <c r="FS48" s="27"/>
      <c r="FT48" s="27"/>
      <c r="FU48" s="27"/>
      <c r="FV48" s="27"/>
      <c r="FW48" s="27"/>
      <c r="FX48" s="27"/>
      <c r="FY48" s="27"/>
      <c r="FZ48" s="27"/>
      <c r="GA48" s="27"/>
      <c r="GB48" s="27"/>
      <c r="GC48" s="27"/>
      <c r="GD48" s="27"/>
      <c r="GE48" s="27"/>
      <c r="GF48" s="27"/>
      <c r="GG48" s="27"/>
      <c r="GH48" s="27"/>
      <c r="GI48" s="27"/>
      <c r="GJ48" s="27"/>
      <c r="GK48" s="27"/>
      <c r="GL48" s="27"/>
      <c r="GM48" s="27"/>
      <c r="GN48" s="27"/>
      <c r="GO48" s="27"/>
      <c r="GP48" s="27"/>
      <c r="GQ48" s="27"/>
      <c r="GR48" s="27"/>
      <c r="GS48" s="27"/>
      <c r="GT48" s="27"/>
      <c r="GU48" s="27"/>
      <c r="GV48" s="27"/>
      <c r="GW48" s="27"/>
      <c r="GX48" s="27"/>
      <c r="GY48" s="27"/>
      <c r="GZ48" s="27"/>
      <c r="HA48" s="27"/>
      <c r="HB48" s="27"/>
      <c r="HC48" s="27"/>
      <c r="HD48" s="27"/>
      <c r="HE48" s="27"/>
      <c r="HF48" s="27"/>
      <c r="HG48" s="27"/>
      <c r="HH48" s="27"/>
      <c r="HI48" s="27"/>
      <c r="HJ48" s="27"/>
      <c r="HK48" s="27"/>
      <c r="HL48" s="27"/>
      <c r="HM48" s="27"/>
      <c r="HN48" s="27"/>
      <c r="HO48" s="27"/>
      <c r="HP48" s="27"/>
      <c r="HQ48" s="27"/>
      <c r="HR48" s="27"/>
      <c r="HS48" s="27"/>
    </row>
    <row r="49" spans="1:228" s="38" customFormat="1" ht="18.75" customHeight="1" x14ac:dyDescent="0.25">
      <c r="A49" s="64" t="s">
        <v>69</v>
      </c>
      <c r="B49" s="40">
        <v>41</v>
      </c>
      <c r="C49" s="30" t="s">
        <v>215</v>
      </c>
      <c r="D49" s="30" t="s">
        <v>216</v>
      </c>
      <c r="E49" s="32" t="s">
        <v>41</v>
      </c>
      <c r="F49" s="28" t="s">
        <v>131</v>
      </c>
      <c r="G49" s="33">
        <f t="shared" si="1"/>
        <v>6</v>
      </c>
      <c r="H49" s="35"/>
      <c r="I49" s="35"/>
      <c r="J49" s="35"/>
      <c r="K49" s="35"/>
      <c r="L49" s="28">
        <v>16</v>
      </c>
      <c r="M49" s="28">
        <f>(18-L49)</f>
        <v>2</v>
      </c>
      <c r="N49" s="35"/>
      <c r="O49" s="35"/>
      <c r="P49" s="35"/>
      <c r="Q49" s="35"/>
      <c r="R49" s="35"/>
      <c r="S49" s="35"/>
      <c r="T49" s="28">
        <v>16</v>
      </c>
      <c r="U49" s="28">
        <f>(20-T49)</f>
        <v>4</v>
      </c>
      <c r="V49" s="35"/>
      <c r="W49" s="35"/>
    </row>
    <row r="50" spans="1:228" s="38" customFormat="1" ht="18.75" customHeight="1" x14ac:dyDescent="0.25">
      <c r="A50" s="64" t="s">
        <v>69</v>
      </c>
      <c r="B50" s="40">
        <v>42</v>
      </c>
      <c r="C50" s="30" t="s">
        <v>217</v>
      </c>
      <c r="D50" s="30" t="s">
        <v>218</v>
      </c>
      <c r="E50" s="40" t="s">
        <v>41</v>
      </c>
      <c r="F50" s="59" t="s">
        <v>140</v>
      </c>
      <c r="G50" s="33">
        <f t="shared" si="1"/>
        <v>5</v>
      </c>
      <c r="H50" s="35"/>
      <c r="I50" s="35"/>
      <c r="J50" s="35"/>
      <c r="K50" s="35"/>
      <c r="L50" s="35"/>
      <c r="M50" s="35"/>
      <c r="N50" s="35"/>
      <c r="O50" s="35"/>
      <c r="P50" s="28">
        <v>16</v>
      </c>
      <c r="Q50" s="28">
        <f>(21-P50)</f>
        <v>5</v>
      </c>
      <c r="R50" s="35"/>
      <c r="S50" s="35"/>
      <c r="T50" s="35"/>
      <c r="U50" s="35"/>
      <c r="V50" s="35"/>
      <c r="W50" s="35"/>
      <c r="HT50" s="1"/>
    </row>
    <row r="51" spans="1:228" s="38" customFormat="1" ht="18.75" customHeight="1" x14ac:dyDescent="0.25">
      <c r="A51" s="64" t="s">
        <v>69</v>
      </c>
      <c r="B51" s="40">
        <v>42</v>
      </c>
      <c r="C51" s="29" t="s">
        <v>219</v>
      </c>
      <c r="D51" s="30" t="s">
        <v>220</v>
      </c>
      <c r="E51" s="50" t="s">
        <v>41</v>
      </c>
      <c r="F51" s="28" t="s">
        <v>122</v>
      </c>
      <c r="G51" s="33">
        <f t="shared" si="1"/>
        <v>5</v>
      </c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28">
        <v>15</v>
      </c>
      <c r="U51" s="28">
        <f>(20-T51)</f>
        <v>5</v>
      </c>
      <c r="V51" s="35"/>
      <c r="W51" s="35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  <c r="BM51" s="27"/>
      <c r="BN51" s="27"/>
      <c r="BO51" s="27"/>
      <c r="BP51" s="27"/>
      <c r="BQ51" s="27"/>
      <c r="BR51" s="27"/>
      <c r="BS51" s="27"/>
      <c r="BT51" s="27"/>
      <c r="BU51" s="27"/>
      <c r="BV51" s="27"/>
      <c r="BW51" s="27"/>
      <c r="BX51" s="27"/>
      <c r="BY51" s="27"/>
      <c r="BZ51" s="27"/>
      <c r="CA51" s="27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27"/>
      <c r="CM51" s="27"/>
      <c r="CN51" s="27"/>
      <c r="CO51" s="27"/>
      <c r="CP51" s="27"/>
      <c r="CQ51" s="27"/>
      <c r="CR51" s="27"/>
      <c r="CS51" s="27"/>
      <c r="CT51" s="27"/>
      <c r="CU51" s="27"/>
      <c r="CV51" s="27"/>
      <c r="CW51" s="27"/>
      <c r="CX51" s="27"/>
      <c r="CY51" s="27"/>
      <c r="CZ51" s="27"/>
      <c r="DA51" s="27"/>
      <c r="DB51" s="27"/>
      <c r="DC51" s="27"/>
      <c r="DD51" s="27"/>
      <c r="DE51" s="27"/>
      <c r="DF51" s="27"/>
      <c r="DG51" s="27"/>
      <c r="DH51" s="27"/>
      <c r="DI51" s="27"/>
      <c r="DJ51" s="27"/>
      <c r="DK51" s="27"/>
      <c r="DL51" s="27"/>
      <c r="DM51" s="27"/>
      <c r="DN51" s="27"/>
      <c r="DO51" s="27"/>
      <c r="DP51" s="27"/>
      <c r="DQ51" s="27"/>
      <c r="DR51" s="27"/>
      <c r="DS51" s="27"/>
      <c r="DT51" s="27"/>
      <c r="DU51" s="27"/>
      <c r="DV51" s="27"/>
      <c r="DW51" s="27"/>
      <c r="DX51" s="27"/>
      <c r="DY51" s="27"/>
      <c r="DZ51" s="27"/>
      <c r="EA51" s="27"/>
      <c r="EB51" s="27"/>
      <c r="EC51" s="27"/>
      <c r="ED51" s="27"/>
      <c r="EE51" s="27"/>
      <c r="EF51" s="27"/>
      <c r="EG51" s="27"/>
      <c r="EH51" s="27"/>
      <c r="EI51" s="27"/>
      <c r="EJ51" s="27"/>
      <c r="EK51" s="27"/>
      <c r="EL51" s="27"/>
      <c r="EM51" s="27"/>
      <c r="EN51" s="27"/>
      <c r="EO51" s="27"/>
      <c r="EP51" s="27"/>
      <c r="EQ51" s="27"/>
      <c r="ER51" s="27"/>
      <c r="ES51" s="27"/>
      <c r="ET51" s="27"/>
      <c r="EU51" s="27"/>
      <c r="EV51" s="27"/>
      <c r="EW51" s="27"/>
      <c r="EX51" s="27"/>
      <c r="EY51" s="27"/>
      <c r="EZ51" s="27"/>
      <c r="FA51" s="27"/>
      <c r="FB51" s="27"/>
      <c r="FC51" s="27"/>
      <c r="FD51" s="27"/>
      <c r="FE51" s="27"/>
      <c r="FF51" s="27"/>
      <c r="FG51" s="27"/>
      <c r="FH51" s="27"/>
      <c r="FI51" s="27"/>
      <c r="FJ51" s="27"/>
      <c r="FK51" s="27"/>
      <c r="FL51" s="27"/>
      <c r="FM51" s="27"/>
      <c r="FN51" s="27"/>
      <c r="FO51" s="27"/>
      <c r="FP51" s="27"/>
      <c r="FQ51" s="27"/>
      <c r="FR51" s="27"/>
      <c r="FS51" s="27"/>
      <c r="FT51" s="27"/>
      <c r="FU51" s="27"/>
      <c r="FV51" s="27"/>
      <c r="FW51" s="27"/>
      <c r="FX51" s="27"/>
      <c r="FY51" s="27"/>
      <c r="FZ51" s="27"/>
      <c r="GA51" s="27"/>
      <c r="GB51" s="27"/>
      <c r="GC51" s="27"/>
      <c r="GD51" s="27"/>
      <c r="GE51" s="27"/>
      <c r="GF51" s="27"/>
      <c r="GG51" s="27"/>
      <c r="GH51" s="27"/>
      <c r="GI51" s="27"/>
      <c r="GJ51" s="27"/>
      <c r="GK51" s="27"/>
      <c r="GL51" s="27"/>
      <c r="GM51" s="27"/>
      <c r="GN51" s="27"/>
      <c r="GO51" s="27"/>
      <c r="GP51" s="27"/>
      <c r="GQ51" s="27"/>
      <c r="GR51" s="27"/>
      <c r="GS51" s="27"/>
      <c r="GT51" s="27"/>
      <c r="GU51" s="27"/>
      <c r="GV51" s="27"/>
      <c r="GW51" s="27"/>
      <c r="GX51" s="27"/>
      <c r="GY51" s="27"/>
      <c r="GZ51" s="27"/>
      <c r="HA51" s="27"/>
      <c r="HB51" s="27"/>
      <c r="HC51" s="27"/>
      <c r="HD51" s="27"/>
      <c r="HE51" s="27"/>
      <c r="HF51" s="27"/>
      <c r="HG51" s="27"/>
      <c r="HH51" s="27"/>
      <c r="HI51" s="27"/>
      <c r="HJ51" s="27"/>
      <c r="HK51" s="27"/>
      <c r="HL51" s="27"/>
      <c r="HM51" s="27"/>
      <c r="HN51" s="27"/>
      <c r="HO51" s="27"/>
      <c r="HP51" s="27"/>
      <c r="HQ51" s="27"/>
      <c r="HR51" s="27"/>
      <c r="HS51" s="27"/>
    </row>
    <row r="52" spans="1:228" s="38" customFormat="1" ht="18.75" customHeight="1" x14ac:dyDescent="0.25">
      <c r="A52" s="64" t="s">
        <v>69</v>
      </c>
      <c r="B52" s="40">
        <v>44</v>
      </c>
      <c r="C52" s="29" t="s">
        <v>221</v>
      </c>
      <c r="D52" s="30" t="s">
        <v>222</v>
      </c>
      <c r="E52" s="40" t="s">
        <v>41</v>
      </c>
      <c r="F52" s="59" t="s">
        <v>140</v>
      </c>
      <c r="G52" s="33">
        <f t="shared" si="1"/>
        <v>4</v>
      </c>
      <c r="H52" s="35"/>
      <c r="I52" s="35"/>
      <c r="J52" s="35"/>
      <c r="K52" s="35"/>
      <c r="L52" s="28">
        <v>15</v>
      </c>
      <c r="M52" s="28">
        <f>(18-L52)</f>
        <v>3</v>
      </c>
      <c r="N52" s="35"/>
      <c r="O52" s="35"/>
      <c r="P52" s="28">
        <v>20</v>
      </c>
      <c r="Q52" s="28">
        <f>(21-P52)</f>
        <v>1</v>
      </c>
      <c r="R52" s="35"/>
      <c r="S52" s="35"/>
      <c r="T52" s="35"/>
      <c r="U52" s="35"/>
      <c r="V52" s="35"/>
      <c r="W52" s="35"/>
    </row>
    <row r="53" spans="1:228" s="38" customFormat="1" ht="18.75" customHeight="1" x14ac:dyDescent="0.25">
      <c r="A53" s="64" t="s">
        <v>69</v>
      </c>
      <c r="B53" s="40">
        <v>45</v>
      </c>
      <c r="C53" s="29" t="s">
        <v>223</v>
      </c>
      <c r="D53" s="30" t="s">
        <v>224</v>
      </c>
      <c r="E53" s="32" t="s">
        <v>41</v>
      </c>
      <c r="F53" s="44" t="s">
        <v>140</v>
      </c>
      <c r="G53" s="33">
        <f t="shared" si="1"/>
        <v>3</v>
      </c>
      <c r="H53" s="28">
        <v>13</v>
      </c>
      <c r="I53" s="28">
        <f>(14-H53)</f>
        <v>1</v>
      </c>
      <c r="J53" s="28">
        <v>14</v>
      </c>
      <c r="K53" s="28">
        <f>(15-J53)</f>
        <v>1</v>
      </c>
      <c r="L53" s="35"/>
      <c r="M53" s="35"/>
      <c r="N53" s="35"/>
      <c r="O53" s="35"/>
      <c r="P53" s="35"/>
      <c r="Q53" s="35"/>
      <c r="R53" s="35"/>
      <c r="S53" s="35"/>
      <c r="T53" s="28">
        <v>19</v>
      </c>
      <c r="U53" s="28">
        <f>(20-T53)</f>
        <v>1</v>
      </c>
      <c r="V53" s="35"/>
      <c r="W53" s="35"/>
    </row>
    <row r="54" spans="1:228" s="38" customFormat="1" ht="18.75" customHeight="1" x14ac:dyDescent="0.25">
      <c r="A54" s="64" t="s">
        <v>69</v>
      </c>
      <c r="B54" s="40">
        <v>46</v>
      </c>
      <c r="C54" s="29" t="s">
        <v>225</v>
      </c>
      <c r="D54" s="30" t="s">
        <v>226</v>
      </c>
      <c r="E54" s="40" t="s">
        <v>41</v>
      </c>
      <c r="F54" s="57" t="s">
        <v>119</v>
      </c>
      <c r="G54" s="33">
        <f t="shared" si="1"/>
        <v>2</v>
      </c>
      <c r="H54" s="35"/>
      <c r="I54" s="35"/>
      <c r="J54" s="35"/>
      <c r="K54" s="35"/>
      <c r="L54" s="28">
        <v>16</v>
      </c>
      <c r="M54" s="28">
        <f>(18-L54)</f>
        <v>2</v>
      </c>
      <c r="N54" s="35"/>
      <c r="O54" s="35"/>
      <c r="P54" s="35"/>
      <c r="Q54" s="35"/>
      <c r="R54" s="35"/>
      <c r="S54" s="35"/>
      <c r="T54" s="35"/>
      <c r="U54" s="35"/>
      <c r="V54" s="35"/>
      <c r="W54" s="35"/>
    </row>
    <row r="55" spans="1:228" s="38" customFormat="1" ht="18.75" customHeight="1" x14ac:dyDescent="0.25">
      <c r="A55" s="64" t="s">
        <v>69</v>
      </c>
      <c r="B55" s="40">
        <v>47</v>
      </c>
      <c r="C55" s="29" t="s">
        <v>227</v>
      </c>
      <c r="D55" s="30" t="s">
        <v>228</v>
      </c>
      <c r="E55" s="40" t="s">
        <v>41</v>
      </c>
      <c r="F55" s="59" t="s">
        <v>140</v>
      </c>
      <c r="G55" s="33">
        <f t="shared" si="1"/>
        <v>1</v>
      </c>
      <c r="H55" s="35"/>
      <c r="I55" s="35"/>
      <c r="J55" s="35"/>
      <c r="K55" s="35"/>
      <c r="L55" s="35"/>
      <c r="M55" s="35"/>
      <c r="N55" s="35"/>
      <c r="O55" s="35"/>
      <c r="P55" s="28">
        <v>20</v>
      </c>
      <c r="Q55" s="28">
        <f>(21-P55)</f>
        <v>1</v>
      </c>
      <c r="R55" s="35"/>
      <c r="S55" s="35"/>
      <c r="T55" s="35"/>
      <c r="U55" s="35"/>
      <c r="V55" s="35"/>
      <c r="W55" s="35"/>
    </row>
    <row r="56" spans="1:228" s="38" customFormat="1" ht="18.75" customHeight="1" x14ac:dyDescent="0.25">
      <c r="A56" s="64" t="s">
        <v>69</v>
      </c>
      <c r="B56" s="40">
        <v>48</v>
      </c>
      <c r="C56" s="30" t="s">
        <v>229</v>
      </c>
      <c r="D56" s="30" t="s">
        <v>230</v>
      </c>
      <c r="E56" s="50" t="s">
        <v>41</v>
      </c>
      <c r="F56" s="44" t="s">
        <v>140</v>
      </c>
      <c r="G56" s="33">
        <f t="shared" si="1"/>
        <v>0</v>
      </c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28" t="s">
        <v>69</v>
      </c>
      <c r="S56" s="28">
        <v>0</v>
      </c>
      <c r="T56" s="35"/>
      <c r="U56" s="35"/>
      <c r="V56" s="35"/>
      <c r="W56" s="35"/>
    </row>
    <row r="57" spans="1:228" x14ac:dyDescent="0.2">
      <c r="B57" s="51" t="s">
        <v>100</v>
      </c>
      <c r="G57" s="53"/>
      <c r="H57" s="53"/>
      <c r="I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</row>
  </sheetData>
  <autoFilter ref="B8:HS57" xr:uid="{00000000-0009-0000-0000-000004000000}"/>
  <mergeCells count="19">
    <mergeCell ref="R6:S6"/>
    <mergeCell ref="T6:U6"/>
    <mergeCell ref="V6:W6"/>
    <mergeCell ref="M3:M4"/>
    <mergeCell ref="H6:I6"/>
    <mergeCell ref="J6:K6"/>
    <mergeCell ref="L6:M6"/>
    <mergeCell ref="N6:O6"/>
    <mergeCell ref="P6:Q6"/>
    <mergeCell ref="B1:E1"/>
    <mergeCell ref="G1:M1"/>
    <mergeCell ref="B2:E5"/>
    <mergeCell ref="G2:M2"/>
    <mergeCell ref="G3:G4"/>
    <mergeCell ref="H3:H4"/>
    <mergeCell ref="I3:I4"/>
    <mergeCell ref="J3:J4"/>
    <mergeCell ref="K3:K4"/>
    <mergeCell ref="L3:L4"/>
  </mergeCells>
  <pageMargins left="0.74803149606299213" right="0.74803149606299213" top="0.98425196850393704" bottom="0.98425196850393704" header="0.51181102362204722" footer="0.51181102362204722"/>
  <pageSetup paperSize="9" scale="37" fitToHeight="0" orientation="landscape" horizontalDpi="4294967294" verticalDpi="300" r:id="rId1"/>
  <headerFooter alignWithMargins="0">
    <oddHeader>&amp;CPoänglista Whippet Hanar Nationell klass 2016</oddHeader>
    <oddFooter>&amp;Ccopyright Marie Eriksson 3 December 2016</oddFooter>
  </headerFooter>
  <colBreaks count="1" manualBreakCount="1">
    <brk id="13" max="5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4</vt:i4>
      </vt:variant>
      <vt:variant>
        <vt:lpstr>Namngivna områden</vt:lpstr>
      </vt:variant>
      <vt:variant>
        <vt:i4>8</vt:i4>
      </vt:variant>
    </vt:vector>
  </HeadingPairs>
  <TitlesOfParts>
    <vt:vector size="12" baseType="lpstr">
      <vt:lpstr>Total Tikar 2018 Internationell</vt:lpstr>
      <vt:lpstr>Total Hanar 2018 Internationell</vt:lpstr>
      <vt:lpstr>Total Tikar 2018 Klass 2</vt:lpstr>
      <vt:lpstr>Total Hanar 2018 Klass 2</vt:lpstr>
      <vt:lpstr>'Total Hanar 2018 Internationell'!Utskriftsområde</vt:lpstr>
      <vt:lpstr>'Total Hanar 2018 Klass 2'!Utskriftsområde</vt:lpstr>
      <vt:lpstr>'Total Tikar 2018 Internationell'!Utskriftsområde</vt:lpstr>
      <vt:lpstr>'Total Tikar 2018 Klass 2'!Utskriftsområde</vt:lpstr>
      <vt:lpstr>'Total Hanar 2018 Internationell'!Utskriftsrubriker</vt:lpstr>
      <vt:lpstr>'Total Hanar 2018 Klass 2'!Utskriftsrubriker</vt:lpstr>
      <vt:lpstr>'Total Tikar 2018 Internationell'!Utskriftsrubriker</vt:lpstr>
      <vt:lpstr>'Total Tikar 2018 Klass 2'!Utskriftsrubriker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Marie</cp:lastModifiedBy>
  <dcterms:created xsi:type="dcterms:W3CDTF">2018-11-28T22:08:41Z</dcterms:created>
  <dcterms:modified xsi:type="dcterms:W3CDTF">2018-11-29T17:40:07Z</dcterms:modified>
</cp:coreProperties>
</file>